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na\Desktop\VERA RESPALDO1\ESTADOS FINANC 2019\"/>
    </mc:Choice>
  </mc:AlternateContent>
  <bookViews>
    <workbookView xWindow="0" yWindow="0" windowWidth="16380" windowHeight="8190" tabRatio="992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Hoja1!$A$1:$F$55</definedName>
  </definedNames>
  <calcPr calcId="152511"/>
</workbook>
</file>

<file path=xl/calcChain.xml><?xml version="1.0" encoding="utf-8"?>
<calcChain xmlns="http://schemas.openxmlformats.org/spreadsheetml/2006/main">
  <c r="B35" i="2" l="1"/>
  <c r="B34" i="2"/>
  <c r="B33" i="2"/>
  <c r="B32" i="2"/>
  <c r="B31" i="2"/>
  <c r="B27" i="2"/>
  <c r="B26" i="2"/>
  <c r="B25" i="2"/>
  <c r="B24" i="2"/>
  <c r="B23" i="2"/>
  <c r="B22" i="2"/>
  <c r="B21" i="2"/>
  <c r="B20" i="2"/>
  <c r="B19" i="2"/>
  <c r="C21" i="1" l="1"/>
  <c r="C13" i="2" l="1"/>
  <c r="C12" i="2"/>
  <c r="B13" i="2"/>
  <c r="B12" i="2"/>
  <c r="C2" i="2"/>
  <c r="B5" i="2"/>
  <c r="B4" i="2"/>
  <c r="B3" i="2"/>
  <c r="B2" i="2"/>
  <c r="C43" i="1" l="1"/>
  <c r="C38" i="1"/>
  <c r="C37" i="1"/>
  <c r="C36" i="1"/>
  <c r="C30" i="1"/>
  <c r="C20" i="1"/>
  <c r="C19" i="1"/>
  <c r="C18" i="1"/>
  <c r="C17" i="1"/>
  <c r="C13" i="1"/>
  <c r="C12" i="1"/>
  <c r="C10" i="1"/>
  <c r="B14" i="2" l="1"/>
  <c r="D43" i="1" l="1"/>
  <c r="D38" i="1"/>
  <c r="D37" i="1"/>
  <c r="D36" i="1"/>
  <c r="D30" i="1"/>
  <c r="D21" i="1"/>
  <c r="D20" i="1"/>
  <c r="D19" i="1"/>
  <c r="D18" i="1"/>
  <c r="D17" i="1"/>
  <c r="D13" i="1"/>
  <c r="D12" i="1"/>
  <c r="D10" i="1"/>
  <c r="C44" i="1" l="1"/>
  <c r="D44" i="1" l="1"/>
  <c r="D23" i="1"/>
  <c r="D14" i="1"/>
  <c r="C23" i="1"/>
  <c r="C14" i="1"/>
  <c r="D33" i="1"/>
  <c r="C33" i="1"/>
  <c r="D46" i="1" l="1"/>
  <c r="D25" i="1"/>
  <c r="C46" i="1"/>
  <c r="C25" i="1"/>
  <c r="F27" i="1"/>
  <c r="H14" i="1"/>
  <c r="D50" i="1" l="1"/>
  <c r="C50" i="1"/>
  <c r="F50" i="1" s="1"/>
</calcChain>
</file>

<file path=xl/sharedStrings.xml><?xml version="1.0" encoding="utf-8"?>
<sst xmlns="http://schemas.openxmlformats.org/spreadsheetml/2006/main" count="115" uniqueCount="102">
  <si>
    <t>UNIVERSIDAD NACIONAL</t>
  </si>
  <si>
    <t>(en miles de colones)</t>
  </si>
  <si>
    <t>Descripción de la Cuenta</t>
  </si>
  <si>
    <t>Períodos</t>
  </si>
  <si>
    <t>Ingresos Corrientes:</t>
  </si>
  <si>
    <t>Ingresos Tributarios</t>
  </si>
  <si>
    <t>DA</t>
  </si>
  <si>
    <t>Contribuciones Sociales</t>
  </si>
  <si>
    <t>Ingresos No Tributarios</t>
  </si>
  <si>
    <t>DB+DC+DD+DE+DO+DQ (EXCEPTO DDB01)</t>
  </si>
  <si>
    <t>Transferencias Corrientes y Capital</t>
  </si>
  <si>
    <t>DF+DN</t>
  </si>
  <si>
    <t>Total Ingresos Corrientes</t>
  </si>
  <si>
    <t>Gastos Corrientes</t>
  </si>
  <si>
    <t>Remuneraciones</t>
  </si>
  <si>
    <t>TOTAL G</t>
  </si>
  <si>
    <t>Servicios</t>
  </si>
  <si>
    <t>HA</t>
  </si>
  <si>
    <t>Materiales y Suministros</t>
  </si>
  <si>
    <t>HB</t>
  </si>
  <si>
    <t>Intereses y Comisiones</t>
  </si>
  <si>
    <t>HC (excepto h2605)</t>
  </si>
  <si>
    <t>HF</t>
  </si>
  <si>
    <t>Cuentas Especiales</t>
  </si>
  <si>
    <t>Total Gastos Corrientes</t>
  </si>
  <si>
    <t>Superávit ( Déficit ) Corriente</t>
  </si>
  <si>
    <t xml:space="preserve">Otros Ingresos y Gastos: </t>
  </si>
  <si>
    <t xml:space="preserve">Otros Ingresos </t>
  </si>
  <si>
    <t>Ganancias en Venta, Cambio o Retiro de Activos Fijos</t>
  </si>
  <si>
    <t>Diferencias Positivas Tipo de Cambio</t>
  </si>
  <si>
    <t>DDB01</t>
  </si>
  <si>
    <t>Ganancia por Reclasificación de Activos Fijos</t>
  </si>
  <si>
    <t>H4201 se coloca por sobregiro</t>
  </si>
  <si>
    <t>Otros Ingresos</t>
  </si>
  <si>
    <t xml:space="preserve">Total Otros Ingresos </t>
  </si>
  <si>
    <t xml:space="preserve">Otros Gastos </t>
  </si>
  <si>
    <t>Pérdida en Venta, Cambio o Retiro de Activos Fijos</t>
  </si>
  <si>
    <t>H42</t>
  </si>
  <si>
    <t>Diferencias Negativas Tipo de Cambio</t>
  </si>
  <si>
    <t>H2605</t>
  </si>
  <si>
    <t xml:space="preserve">Gastos de Depreciación, Agotamiento </t>
  </si>
  <si>
    <t>H41</t>
  </si>
  <si>
    <t>Gastos de Diferidos Intangibles</t>
  </si>
  <si>
    <t>Pérdidas por Reclasificaciones de Activos Fijos</t>
  </si>
  <si>
    <t>Pérdidas por Cuentas Incobrables</t>
  </si>
  <si>
    <t>Pérdidas en Existencias</t>
  </si>
  <si>
    <t xml:space="preserve">Total Otros Gastos </t>
  </si>
  <si>
    <t>Superávit ( Déficit ) de Otros Ingresos y Gastos</t>
  </si>
  <si>
    <t>Impuesto de Renta</t>
  </si>
  <si>
    <t>Reservas</t>
  </si>
  <si>
    <t>Superávit ( Déficit ) Neto del Periodo</t>
  </si>
  <si>
    <t xml:space="preserve"> </t>
  </si>
  <si>
    <t>Sello</t>
  </si>
  <si>
    <t>Estado de Resultados Intermedio</t>
  </si>
  <si>
    <t>Elaborado por: Vera Agüero Valverde</t>
  </si>
  <si>
    <t>Fecha Elaborado:</t>
  </si>
  <si>
    <t>Fecha Aprobado:</t>
  </si>
  <si>
    <t>esto pasarlo a la casilla 43</t>
  </si>
  <si>
    <t>viene la casilla 22</t>
  </si>
  <si>
    <t>HD+H37+H38+H39+H40+H70+H30</t>
  </si>
  <si>
    <t>Marzo 2018</t>
  </si>
  <si>
    <t>Al 31 de marzo  del 2019</t>
  </si>
  <si>
    <t>Marzo 2019</t>
  </si>
  <si>
    <t>DESCRIPCION</t>
  </si>
  <si>
    <t>Venta de bienes y servicios</t>
  </si>
  <si>
    <t>Derechos administrativos(estudiantiles)</t>
  </si>
  <si>
    <t>Inter. y desc. sobre inversiones</t>
  </si>
  <si>
    <t>Fondo de Educación Superior FEES</t>
  </si>
  <si>
    <t>Rentas Propias</t>
  </si>
  <si>
    <t>Ministerio de Hacienda</t>
  </si>
  <si>
    <t>Alquileres</t>
  </si>
  <si>
    <t>Servicios (Agua, luz, teléfono)</t>
  </si>
  <si>
    <t>Servicios comerciales financieros</t>
  </si>
  <si>
    <t>Servicios de gestión y apoyo</t>
  </si>
  <si>
    <t>Gastos de viaje y transporte</t>
  </si>
  <si>
    <t>Seguros</t>
  </si>
  <si>
    <t>Capacitación y protocolo</t>
  </si>
  <si>
    <t>Mantenimiento y reparación</t>
  </si>
  <si>
    <t>Servicios diversos</t>
  </si>
  <si>
    <t>Becas otorgadas a los estudiantes</t>
  </si>
  <si>
    <t>Becas a funcionarios</t>
  </si>
  <si>
    <t>Prestaciones legales</t>
  </si>
  <si>
    <t>Fondo de Cesantía Institucional</t>
  </si>
  <si>
    <t>Fondo de Beneficio Social</t>
  </si>
  <si>
    <t>Aprobado por:  Marly Alfaro Salas</t>
  </si>
  <si>
    <t>Sub-Directora  Programa Gestión Financiera</t>
  </si>
  <si>
    <t>205.101.53</t>
  </si>
  <si>
    <t>843.760.08</t>
  </si>
  <si>
    <t>118.210.87</t>
  </si>
  <si>
    <t>180.402.22</t>
  </si>
  <si>
    <t>377.760.95</t>
  </si>
  <si>
    <t>333.555.05</t>
  </si>
  <si>
    <t>173.495.79</t>
  </si>
  <si>
    <t>113.040.09</t>
  </si>
  <si>
    <t xml:space="preserve">    65.939.48</t>
  </si>
  <si>
    <t>157.848.29</t>
  </si>
  <si>
    <t>249.109.08</t>
  </si>
  <si>
    <t>199.181.90</t>
  </si>
  <si>
    <t>1.460.758.73</t>
  </si>
  <si>
    <t xml:space="preserve">   186.032.63</t>
  </si>
  <si>
    <t xml:space="preserve">   159.159.40</t>
  </si>
  <si>
    <t xml:space="preserve">     40.935.50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</si>
</sst>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/>
    </xf>
    <xf numFmtId="0" fontId="3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4" fontId="3" fillId="0" borderId="7" xfId="0" applyNumberFormat="1" applyFont="1" applyBorder="1" applyProtection="1"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4" fontId="0" fillId="0" borderId="1" xfId="0" applyNumberFormat="1" applyBorder="1" applyProtection="1">
      <protection locked="0"/>
    </xf>
    <xf numFmtId="4" fontId="2" fillId="0" borderId="1" xfId="0" applyNumberFormat="1" applyFont="1" applyBorder="1" applyProtection="1"/>
    <xf numFmtId="4" fontId="0" fillId="0" borderId="0" xfId="0" applyNumberFormat="1" applyBorder="1" applyProtection="1"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4" fontId="2" fillId="0" borderId="4" xfId="0" applyNumberFormat="1" applyFont="1" applyBorder="1" applyProtection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3" fillId="0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" fontId="3" fillId="0" borderId="17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4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0" fillId="0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0" fontId="5" fillId="0" borderId="20" xfId="0" applyFont="1" applyBorder="1" applyAlignment="1">
      <alignment horizontal="justify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21" xfId="0" applyFont="1" applyBorder="1" applyAlignment="1">
      <alignment horizontal="justify" vertical="center" wrapText="1"/>
    </xf>
    <xf numFmtId="1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5" workbookViewId="0">
      <selection sqref="A1:D59"/>
    </sheetView>
  </sheetViews>
  <sheetFormatPr baseColWidth="10" defaultRowHeight="15" customHeight="1" x14ac:dyDescent="0.25"/>
  <cols>
    <col min="1" max="1" width="40.85546875" style="1" customWidth="1"/>
    <col min="2" max="2" width="5.7109375" style="2" customWidth="1"/>
    <col min="3" max="3" width="19" style="42" customWidth="1"/>
    <col min="4" max="4" width="17.42578125" style="3" customWidth="1"/>
    <col min="5" max="5" width="11.42578125" style="3"/>
    <col min="6" max="6" width="13.28515625" style="1" customWidth="1"/>
    <col min="7" max="7" width="20.140625" style="1" customWidth="1"/>
    <col min="8" max="16384" width="11.42578125" style="1"/>
  </cols>
  <sheetData>
    <row r="1" spans="1:8" ht="15.75" customHeight="1" x14ac:dyDescent="0.25">
      <c r="A1" s="53" t="s">
        <v>0</v>
      </c>
      <c r="B1" s="53"/>
      <c r="C1" s="53"/>
      <c r="D1" s="53"/>
    </row>
    <row r="2" spans="1:8" ht="15" customHeight="1" x14ac:dyDescent="0.25">
      <c r="A2" s="53" t="s">
        <v>53</v>
      </c>
      <c r="B2" s="53"/>
      <c r="C2" s="53"/>
      <c r="D2" s="53"/>
    </row>
    <row r="3" spans="1:8" ht="15.75" customHeight="1" x14ac:dyDescent="0.25">
      <c r="A3" s="53" t="s">
        <v>61</v>
      </c>
      <c r="B3" s="53"/>
      <c r="C3" s="53"/>
      <c r="D3" s="53"/>
    </row>
    <row r="4" spans="1:8" ht="15" customHeight="1" x14ac:dyDescent="0.25">
      <c r="A4" s="53" t="s">
        <v>1</v>
      </c>
      <c r="B4" s="53"/>
      <c r="C4" s="53"/>
      <c r="D4" s="53"/>
    </row>
    <row r="5" spans="1:8" ht="15.75" customHeight="1" x14ac:dyDescent="0.25">
      <c r="A5" s="4"/>
      <c r="B5" s="4"/>
      <c r="C5" s="34"/>
      <c r="D5" s="4"/>
    </row>
    <row r="6" spans="1:8" ht="15" customHeight="1" x14ac:dyDescent="0.25">
      <c r="A6" s="54" t="s">
        <v>2</v>
      </c>
      <c r="B6" s="5"/>
      <c r="C6" s="55" t="s">
        <v>3</v>
      </c>
      <c r="D6" s="55"/>
    </row>
    <row r="7" spans="1:8" ht="16.350000000000001" customHeight="1" x14ac:dyDescent="0.25">
      <c r="A7" s="54"/>
      <c r="B7" s="6"/>
      <c r="C7" s="35" t="s">
        <v>62</v>
      </c>
      <c r="D7" s="35" t="s">
        <v>60</v>
      </c>
    </row>
    <row r="8" spans="1:8" ht="15" customHeight="1" x14ac:dyDescent="0.25">
      <c r="A8" s="7"/>
      <c r="B8" s="8"/>
      <c r="C8" s="36"/>
      <c r="D8" s="9"/>
    </row>
    <row r="9" spans="1:8" ht="16.350000000000001" customHeight="1" x14ac:dyDescent="0.25">
      <c r="A9" s="10" t="s">
        <v>4</v>
      </c>
      <c r="B9" s="11"/>
      <c r="C9" s="37"/>
      <c r="D9" s="12"/>
    </row>
    <row r="10" spans="1:8" ht="16.350000000000001" customHeight="1" x14ac:dyDescent="0.25">
      <c r="A10" s="13" t="s">
        <v>5</v>
      </c>
      <c r="B10" s="14">
        <v>1</v>
      </c>
      <c r="C10" s="38">
        <f>1033963.08/1000</f>
        <v>1033.96308</v>
      </c>
      <c r="D10" s="38">
        <f>7098228.51/1000</f>
        <v>7098.2285099999999</v>
      </c>
      <c r="E10" s="3" t="s">
        <v>6</v>
      </c>
    </row>
    <row r="11" spans="1:8" ht="16.350000000000001" customHeight="1" x14ac:dyDescent="0.25">
      <c r="A11" s="13" t="s">
        <v>7</v>
      </c>
      <c r="B11" s="14"/>
      <c r="C11" s="38">
        <v>0</v>
      </c>
      <c r="D11" s="38">
        <v>0</v>
      </c>
    </row>
    <row r="12" spans="1:8" ht="16.350000000000001" customHeight="1" x14ac:dyDescent="0.25">
      <c r="A12" s="13" t="s">
        <v>8</v>
      </c>
      <c r="B12" s="14">
        <v>2</v>
      </c>
      <c r="C12" s="38">
        <f>+(255975115.04+255248013.66+914050907.8+47129363.81-14013038.55)/1000</f>
        <v>1458390.36176</v>
      </c>
      <c r="D12" s="38">
        <f>+(224972495.42+205701126.44+914960734.22-44391893.05+118210877.54+49652202227.21)/1000</f>
        <v>51071655.567779996</v>
      </c>
      <c r="E12" s="3" t="s">
        <v>9</v>
      </c>
    </row>
    <row r="13" spans="1:8" ht="16.350000000000001" customHeight="1" x14ac:dyDescent="0.25">
      <c r="A13" s="13" t="s">
        <v>10</v>
      </c>
      <c r="B13" s="14">
        <v>3</v>
      </c>
      <c r="C13" s="38">
        <f>37535904942.86/1000</f>
        <v>37535904.94286</v>
      </c>
      <c r="D13" s="38">
        <f>35092016559.17/1000</f>
        <v>35092016.55917</v>
      </c>
      <c r="E13" s="3" t="s">
        <v>11</v>
      </c>
    </row>
    <row r="14" spans="1:8" ht="16.350000000000001" customHeight="1" x14ac:dyDescent="0.25">
      <c r="A14" s="10" t="s">
        <v>12</v>
      </c>
      <c r="B14" s="14"/>
      <c r="C14" s="39">
        <f>SUM(C10:C13)</f>
        <v>38995329.267700002</v>
      </c>
      <c r="D14" s="16">
        <f>SUM(D10:D13)</f>
        <v>86170770.355459988</v>
      </c>
      <c r="G14" s="17"/>
      <c r="H14" s="3">
        <f>+G14-C14</f>
        <v>-38995329.267700002</v>
      </c>
    </row>
    <row r="15" spans="1:8" ht="15.75" customHeight="1" x14ac:dyDescent="0.25">
      <c r="A15" s="13"/>
      <c r="B15" s="14"/>
      <c r="C15" s="38"/>
      <c r="D15" s="15"/>
      <c r="G15" s="17"/>
    </row>
    <row r="16" spans="1:8" ht="16.350000000000001" customHeight="1" x14ac:dyDescent="0.25">
      <c r="A16" s="18" t="s">
        <v>13</v>
      </c>
      <c r="B16" s="14"/>
      <c r="C16" s="38"/>
      <c r="D16" s="15"/>
    </row>
    <row r="17" spans="1:12" ht="16.350000000000001" customHeight="1" x14ac:dyDescent="0.25">
      <c r="A17" s="13" t="s">
        <v>14</v>
      </c>
      <c r="B17" s="14">
        <v>4</v>
      </c>
      <c r="C17" s="38">
        <f>20577194097.44/1000</f>
        <v>20577194.097439997</v>
      </c>
      <c r="D17" s="38">
        <f>19517029517.94/1000</f>
        <v>19517029.51794</v>
      </c>
      <c r="E17" s="3" t="s">
        <v>15</v>
      </c>
    </row>
    <row r="18" spans="1:12" ht="16.350000000000001" customHeight="1" x14ac:dyDescent="0.25">
      <c r="A18" s="13" t="s">
        <v>16</v>
      </c>
      <c r="B18" s="14">
        <v>5</v>
      </c>
      <c r="C18" s="38">
        <f>1662419558.33/1000</f>
        <v>1662419.5583299999</v>
      </c>
      <c r="D18" s="38">
        <f>1850332886.61/1000</f>
        <v>1850332.8866099999</v>
      </c>
      <c r="E18" s="3" t="s">
        <v>17</v>
      </c>
      <c r="G18" s="3"/>
    </row>
    <row r="19" spans="1:12" ht="16.350000000000001" customHeight="1" x14ac:dyDescent="0.25">
      <c r="A19" s="13" t="s">
        <v>18</v>
      </c>
      <c r="B19" s="14">
        <v>6</v>
      </c>
      <c r="C19" s="38">
        <f>375082016.2/1000</f>
        <v>375082.01620000001</v>
      </c>
      <c r="D19" s="38">
        <f>383517141.14/1000</f>
        <v>383517.14113999996</v>
      </c>
      <c r="E19" s="3" t="s">
        <v>19</v>
      </c>
    </row>
    <row r="20" spans="1:12" ht="16.350000000000001" customHeight="1" x14ac:dyDescent="0.25">
      <c r="A20" s="13" t="s">
        <v>20</v>
      </c>
      <c r="B20" s="14">
        <v>7</v>
      </c>
      <c r="C20" s="38">
        <f>19851569.19/1000</f>
        <v>19851.569190000002</v>
      </c>
      <c r="D20" s="38">
        <f>27092112.41/1000</f>
        <v>27092.112410000002</v>
      </c>
      <c r="E20" s="3" t="s">
        <v>21</v>
      </c>
    </row>
    <row r="21" spans="1:12" ht="16.350000000000001" customHeight="1" x14ac:dyDescent="0.25">
      <c r="A21" s="13" t="s">
        <v>10</v>
      </c>
      <c r="B21" s="14">
        <v>8</v>
      </c>
      <c r="C21" s="38">
        <f>3014678334.17/1000</f>
        <v>3014678.3341700002</v>
      </c>
      <c r="D21" s="38">
        <f>2529788247.42/1000</f>
        <v>2529788.2474199999</v>
      </c>
      <c r="E21" s="3" t="s">
        <v>22</v>
      </c>
    </row>
    <row r="22" spans="1:12" ht="16.350000000000001" customHeight="1" x14ac:dyDescent="0.25">
      <c r="A22" s="13" t="s">
        <v>23</v>
      </c>
      <c r="B22" s="14"/>
      <c r="C22" s="42">
        <v>0</v>
      </c>
      <c r="D22" s="42">
        <v>0</v>
      </c>
      <c r="H22" s="43" t="s">
        <v>57</v>
      </c>
      <c r="I22" s="43"/>
      <c r="J22" s="43"/>
      <c r="K22" s="43"/>
      <c r="L22" s="43"/>
    </row>
    <row r="23" spans="1:12" ht="16.350000000000001" customHeight="1" x14ac:dyDescent="0.25">
      <c r="A23" s="18" t="s">
        <v>24</v>
      </c>
      <c r="B23" s="14"/>
      <c r="C23" s="16">
        <f>SUM(C17:C22)</f>
        <v>25649225.575329993</v>
      </c>
      <c r="D23" s="16">
        <f>SUM(D17:D22)</f>
        <v>24307759.90552</v>
      </c>
      <c r="G23" s="3"/>
    </row>
    <row r="24" spans="1:12" ht="15.75" customHeight="1" x14ac:dyDescent="0.25">
      <c r="A24" s="13"/>
      <c r="B24" s="14"/>
      <c r="C24" s="38"/>
      <c r="D24" s="15"/>
      <c r="G24" s="3"/>
    </row>
    <row r="25" spans="1:12" ht="16.350000000000001" customHeight="1" x14ac:dyDescent="0.25">
      <c r="A25" s="10" t="s">
        <v>25</v>
      </c>
      <c r="B25" s="14"/>
      <c r="C25" s="16">
        <f>+C14-C23</f>
        <v>13346103.692370009</v>
      </c>
      <c r="D25" s="16">
        <f>+D14-D23</f>
        <v>61863010.449939989</v>
      </c>
    </row>
    <row r="26" spans="1:12" ht="15.75" customHeight="1" x14ac:dyDescent="0.25">
      <c r="A26" s="13"/>
      <c r="B26" s="14"/>
      <c r="C26" s="38"/>
      <c r="D26" s="15"/>
    </row>
    <row r="27" spans="1:12" ht="16.350000000000001" customHeight="1" x14ac:dyDescent="0.25">
      <c r="A27" s="10" t="s">
        <v>26</v>
      </c>
      <c r="B27" s="14"/>
      <c r="C27" s="38"/>
      <c r="D27" s="15"/>
      <c r="F27" s="3">
        <f>+C14+C33</f>
        <v>39009342.306249999</v>
      </c>
    </row>
    <row r="28" spans="1:12" ht="16.350000000000001" customHeight="1" x14ac:dyDescent="0.25">
      <c r="A28" s="18" t="s">
        <v>27</v>
      </c>
      <c r="B28" s="14"/>
      <c r="C28" s="38"/>
      <c r="D28" s="15"/>
    </row>
    <row r="29" spans="1:12" ht="16.350000000000001" customHeight="1" x14ac:dyDescent="0.25">
      <c r="A29" s="13" t="s">
        <v>28</v>
      </c>
      <c r="B29" s="14"/>
      <c r="C29" s="38">
        <v>0</v>
      </c>
      <c r="D29" s="38">
        <v>0</v>
      </c>
    </row>
    <row r="30" spans="1:12" ht="16.350000000000001" customHeight="1" x14ac:dyDescent="0.25">
      <c r="A30" s="13" t="s">
        <v>29</v>
      </c>
      <c r="B30" s="14">
        <v>9</v>
      </c>
      <c r="C30" s="38">
        <f>14013038.55/1000</f>
        <v>14013.038550000001</v>
      </c>
      <c r="D30" s="38">
        <f>44391893.05/1000</f>
        <v>44391.893049999999</v>
      </c>
      <c r="E30" s="3" t="s">
        <v>30</v>
      </c>
    </row>
    <row r="31" spans="1:12" ht="16.350000000000001" customHeight="1" x14ac:dyDescent="0.25">
      <c r="A31" s="13" t="s">
        <v>31</v>
      </c>
      <c r="B31" s="14"/>
      <c r="C31" s="38">
        <v>0</v>
      </c>
      <c r="D31" s="38">
        <v>0</v>
      </c>
      <c r="E31" s="3" t="s">
        <v>32</v>
      </c>
    </row>
    <row r="32" spans="1:12" ht="16.350000000000001" customHeight="1" x14ac:dyDescent="0.25">
      <c r="A32" s="13" t="s">
        <v>33</v>
      </c>
      <c r="B32" s="14"/>
      <c r="C32" s="38">
        <v>0</v>
      </c>
      <c r="D32" s="38">
        <v>0</v>
      </c>
    </row>
    <row r="33" spans="1:10" ht="16.350000000000001" customHeight="1" x14ac:dyDescent="0.25">
      <c r="A33" s="18" t="s">
        <v>34</v>
      </c>
      <c r="B33" s="14"/>
      <c r="C33" s="39">
        <f>SUM(C29:C32)</f>
        <v>14013.038550000001</v>
      </c>
      <c r="D33" s="16">
        <f>SUM(D29:D32)</f>
        <v>44391.893049999999</v>
      </c>
    </row>
    <row r="34" spans="1:10" ht="15.75" customHeight="1" x14ac:dyDescent="0.25">
      <c r="A34" s="13"/>
      <c r="B34" s="14"/>
      <c r="C34" s="38"/>
      <c r="D34" s="15"/>
      <c r="G34" s="3"/>
    </row>
    <row r="35" spans="1:10" ht="16.350000000000001" customHeight="1" x14ac:dyDescent="0.25">
      <c r="A35" s="18" t="s">
        <v>35</v>
      </c>
      <c r="B35" s="14"/>
      <c r="C35" s="38"/>
      <c r="D35" s="15"/>
      <c r="G35" s="3"/>
    </row>
    <row r="36" spans="1:10" ht="16.350000000000001" customHeight="1" x14ac:dyDescent="0.25">
      <c r="A36" s="13" t="s">
        <v>36</v>
      </c>
      <c r="B36" s="14">
        <v>10</v>
      </c>
      <c r="C36" s="38">
        <f>4820526.31/1000</f>
        <v>4820.5263099999993</v>
      </c>
      <c r="D36" s="38">
        <f>5114035.08/1000</f>
        <v>5114.0350799999997</v>
      </c>
      <c r="E36" s="3" t="s">
        <v>37</v>
      </c>
    </row>
    <row r="37" spans="1:10" ht="16.350000000000001" customHeight="1" x14ac:dyDescent="0.25">
      <c r="A37" s="13" t="s">
        <v>38</v>
      </c>
      <c r="B37" s="14">
        <v>11</v>
      </c>
      <c r="C37" s="38">
        <f>87457832.82/1000</f>
        <v>87457.832819999996</v>
      </c>
      <c r="D37" s="38">
        <f>73722414.76/1000</f>
        <v>73722.41476</v>
      </c>
      <c r="E37" s="3" t="s">
        <v>39</v>
      </c>
    </row>
    <row r="38" spans="1:10" ht="16.350000000000001" customHeight="1" x14ac:dyDescent="0.25">
      <c r="A38" s="13" t="s">
        <v>40</v>
      </c>
      <c r="B38" s="14">
        <v>12</v>
      </c>
      <c r="C38" s="38">
        <f>1143999795.83/1000</f>
        <v>1143999.79583</v>
      </c>
      <c r="D38" s="38">
        <f>971147231.63/1000</f>
        <v>971147.23163000005</v>
      </c>
      <c r="E38" s="3" t="s">
        <v>41</v>
      </c>
    </row>
    <row r="39" spans="1:10" ht="16.350000000000001" customHeight="1" x14ac:dyDescent="0.25">
      <c r="A39" s="13" t="s">
        <v>42</v>
      </c>
      <c r="B39" s="14"/>
      <c r="C39" s="38">
        <v>0</v>
      </c>
      <c r="D39" s="38">
        <v>0</v>
      </c>
    </row>
    <row r="40" spans="1:10" ht="16.350000000000001" customHeight="1" x14ac:dyDescent="0.25">
      <c r="A40" s="13" t="s">
        <v>43</v>
      </c>
      <c r="B40" s="14"/>
      <c r="C40" s="38">
        <v>0</v>
      </c>
      <c r="D40" s="38">
        <v>0</v>
      </c>
    </row>
    <row r="41" spans="1:10" ht="16.350000000000001" customHeight="1" x14ac:dyDescent="0.25">
      <c r="A41" s="13" t="s">
        <v>44</v>
      </c>
      <c r="B41" s="14"/>
      <c r="C41" s="38">
        <v>0</v>
      </c>
      <c r="D41" s="38">
        <v>0</v>
      </c>
    </row>
    <row r="42" spans="1:10" ht="16.350000000000001" customHeight="1" x14ac:dyDescent="0.25">
      <c r="A42" s="13" t="s">
        <v>45</v>
      </c>
      <c r="B42" s="14"/>
      <c r="C42" s="38">
        <v>0</v>
      </c>
      <c r="D42" s="38">
        <v>0</v>
      </c>
    </row>
    <row r="43" spans="1:10" ht="16.350000000000001" customHeight="1" x14ac:dyDescent="0.25">
      <c r="A43" s="13" t="s">
        <v>35</v>
      </c>
      <c r="B43" s="14">
        <v>13</v>
      </c>
      <c r="C43" s="38">
        <f>+(288858.22+1165343443.73+1175688683.15+70755401.24)/1000</f>
        <v>2412076.3863400002</v>
      </c>
      <c r="D43" s="38">
        <f>+(63634143.44+1221991240.75+2614446629.72)/1000</f>
        <v>3900072.0139099997</v>
      </c>
      <c r="E43" s="3" t="s">
        <v>59</v>
      </c>
      <c r="H43" s="43" t="s">
        <v>58</v>
      </c>
      <c r="I43" s="43"/>
      <c r="J43" s="43"/>
    </row>
    <row r="44" spans="1:10" ht="16.350000000000001" customHeight="1" x14ac:dyDescent="0.25">
      <c r="A44" s="18" t="s">
        <v>46</v>
      </c>
      <c r="B44" s="14"/>
      <c r="C44" s="39">
        <f>SUM(C36:C43)+0.01</f>
        <v>3648354.5512999999</v>
      </c>
      <c r="D44" s="16">
        <f>SUM(D36:D43)</f>
        <v>4950055.6953799995</v>
      </c>
    </row>
    <row r="45" spans="1:10" ht="15.75" customHeight="1" x14ac:dyDescent="0.25">
      <c r="A45" s="13"/>
      <c r="B45" s="14"/>
      <c r="C45" s="38"/>
      <c r="D45" s="15"/>
    </row>
    <row r="46" spans="1:10" ht="16.350000000000001" customHeight="1" x14ac:dyDescent="0.25">
      <c r="A46" s="10" t="s">
        <v>47</v>
      </c>
      <c r="B46" s="14"/>
      <c r="C46" s="39">
        <f>+C33-C44+0.01</f>
        <v>-3634341.50275</v>
      </c>
      <c r="D46" s="16">
        <f>+D33-D44</f>
        <v>-4905663.8023299994</v>
      </c>
    </row>
    <row r="47" spans="1:10" ht="15.75" customHeight="1" x14ac:dyDescent="0.25">
      <c r="A47" s="10"/>
      <c r="B47" s="14"/>
      <c r="C47" s="38"/>
      <c r="D47" s="15"/>
    </row>
    <row r="48" spans="1:10" ht="16.350000000000001" customHeight="1" x14ac:dyDescent="0.25">
      <c r="A48" s="13" t="s">
        <v>48</v>
      </c>
      <c r="B48" s="14"/>
      <c r="C48" s="38">
        <v>0</v>
      </c>
      <c r="D48" s="15">
        <v>0</v>
      </c>
    </row>
    <row r="49" spans="1:7" ht="16.350000000000001" customHeight="1" x14ac:dyDescent="0.25">
      <c r="A49" s="19" t="s">
        <v>49</v>
      </c>
      <c r="B49" s="20"/>
      <c r="C49" s="38">
        <v>0</v>
      </c>
      <c r="D49" s="15">
        <v>0</v>
      </c>
    </row>
    <row r="50" spans="1:7" ht="16.350000000000001" customHeight="1" x14ac:dyDescent="0.25">
      <c r="A50" s="21" t="s">
        <v>50</v>
      </c>
      <c r="B50" s="22"/>
      <c r="C50" s="23">
        <f>+C25+C46-C48-C49</f>
        <v>9711762.1896200087</v>
      </c>
      <c r="D50" s="23">
        <f>+D25+D46-D48-D49</f>
        <v>56957346.647609986</v>
      </c>
      <c r="F50" s="3">
        <f>+C50-9713789.2</f>
        <v>-2027.0103799905628</v>
      </c>
      <c r="G50" s="3"/>
    </row>
    <row r="51" spans="1:7" ht="15.75" customHeight="1" x14ac:dyDescent="0.25">
      <c r="A51" s="24"/>
      <c r="B51" s="25"/>
      <c r="C51" s="40"/>
      <c r="D51" s="26"/>
      <c r="G51" s="3"/>
    </row>
    <row r="52" spans="1:7" ht="15.75" customHeight="1" x14ac:dyDescent="0.25">
      <c r="A52" s="24"/>
      <c r="B52" s="25"/>
      <c r="C52" s="40"/>
      <c r="D52" s="26"/>
      <c r="F52" s="3"/>
    </row>
    <row r="53" spans="1:7" ht="15.75" customHeight="1" x14ac:dyDescent="0.25">
      <c r="A53" s="27" t="s">
        <v>54</v>
      </c>
      <c r="B53" s="25"/>
      <c r="C53" s="33" t="s">
        <v>55</v>
      </c>
      <c r="D53" s="28" t="s">
        <v>51</v>
      </c>
    </row>
    <row r="54" spans="1:7" ht="15.75" customHeight="1" x14ac:dyDescent="0.25">
      <c r="A54" s="50">
        <v>43564</v>
      </c>
      <c r="B54" s="51"/>
      <c r="C54" s="51"/>
      <c r="D54" s="28"/>
    </row>
    <row r="55" spans="1:7" ht="15.75" customHeight="1" x14ac:dyDescent="0.25">
      <c r="D55" s="29" t="s">
        <v>52</v>
      </c>
      <c r="F55" s="38"/>
    </row>
    <row r="56" spans="1:7" ht="15.75" customHeight="1" x14ac:dyDescent="0.25">
      <c r="A56" s="30"/>
      <c r="B56" s="30"/>
      <c r="C56" s="41"/>
      <c r="D56" s="29"/>
    </row>
    <row r="57" spans="1:7" ht="15" customHeight="1" x14ac:dyDescent="0.25">
      <c r="A57" s="31"/>
      <c r="B57" s="32"/>
      <c r="C57" s="33"/>
      <c r="D57" s="28"/>
    </row>
    <row r="58" spans="1:7" ht="15" customHeight="1" x14ac:dyDescent="0.25">
      <c r="A58" s="31" t="s">
        <v>84</v>
      </c>
      <c r="B58" s="32"/>
      <c r="C58" s="33" t="s">
        <v>56</v>
      </c>
      <c r="D58" s="28"/>
    </row>
    <row r="59" spans="1:7" ht="15" customHeight="1" x14ac:dyDescent="0.25">
      <c r="A59" s="52" t="s">
        <v>85</v>
      </c>
      <c r="B59" s="52"/>
      <c r="C59" s="52"/>
      <c r="D59" s="26"/>
    </row>
    <row r="62" spans="1:7" ht="15.75" customHeight="1" x14ac:dyDescent="0.25"/>
  </sheetData>
  <sheetProtection selectLockedCells="1" selectUnlockedCells="1"/>
  <mergeCells count="8">
    <mergeCell ref="A54:C54"/>
    <mergeCell ref="A59:C59"/>
    <mergeCell ref="A1:D1"/>
    <mergeCell ref="A2:D2"/>
    <mergeCell ref="A3:D3"/>
    <mergeCell ref="A4:D4"/>
    <mergeCell ref="A6:A7"/>
    <mergeCell ref="C6:D6"/>
  </mergeCells>
  <pageMargins left="1.9685039370078741" right="0.70866141732283472" top="0.74803149606299213" bottom="0.74803149606299213" header="0.51181102362204722" footer="0.51181102362204722"/>
  <pageSetup scale="75" firstPageNumber="0" orientation="portrait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16" workbookViewId="0">
      <selection activeCell="A30" sqref="A30"/>
    </sheetView>
  </sheetViews>
  <sheetFormatPr baseColWidth="10" defaultRowHeight="15" customHeight="1" x14ac:dyDescent="0.25"/>
  <cols>
    <col min="1" max="1" width="31" customWidth="1"/>
    <col min="2" max="2" width="17" customWidth="1"/>
    <col min="3" max="3" width="21" customWidth="1"/>
  </cols>
  <sheetData>
    <row r="1" spans="1:3" ht="15" customHeight="1" thickBot="1" x14ac:dyDescent="0.3">
      <c r="A1" s="44"/>
      <c r="B1" s="45" t="s">
        <v>62</v>
      </c>
      <c r="C1" s="45" t="s">
        <v>60</v>
      </c>
    </row>
    <row r="2" spans="1:3" ht="15" customHeight="1" thickBot="1" x14ac:dyDescent="0.3">
      <c r="A2" s="44" t="s">
        <v>64</v>
      </c>
      <c r="B2" s="46">
        <f>255975115.04/1000</f>
        <v>255975.11504</v>
      </c>
      <c r="C2" s="46">
        <f>224972495.42/1000</f>
        <v>224972.49541999999</v>
      </c>
    </row>
    <row r="3" spans="1:3" ht="15" customHeight="1" thickBot="1" x14ac:dyDescent="0.3">
      <c r="A3" s="44" t="s">
        <v>65</v>
      </c>
      <c r="B3" s="46">
        <f>255248013.669/1000</f>
        <v>255248.01366900001</v>
      </c>
      <c r="C3" s="46" t="s">
        <v>86</v>
      </c>
    </row>
    <row r="4" spans="1:3" ht="15" customHeight="1" thickBot="1" x14ac:dyDescent="0.3">
      <c r="A4" s="44" t="s">
        <v>66</v>
      </c>
      <c r="B4" s="46">
        <f>866464289.88/1000</f>
        <v>866464.28987999994</v>
      </c>
      <c r="C4" s="46" t="s">
        <v>87</v>
      </c>
    </row>
    <row r="5" spans="1:3" ht="15" customHeight="1" thickBot="1" x14ac:dyDescent="0.3">
      <c r="A5" s="44" t="s">
        <v>33</v>
      </c>
      <c r="B5" s="46">
        <f>47129363.81/1000</f>
        <v>47129.363810000003</v>
      </c>
      <c r="C5" s="46" t="s">
        <v>88</v>
      </c>
    </row>
    <row r="10" spans="1:3" ht="15" customHeight="1" thickBot="1" x14ac:dyDescent="0.3"/>
    <row r="11" spans="1:3" ht="15" customHeight="1" thickBot="1" x14ac:dyDescent="0.3">
      <c r="A11" s="44" t="s">
        <v>63</v>
      </c>
      <c r="B11" s="45" t="s">
        <v>62</v>
      </c>
      <c r="C11" s="45" t="s">
        <v>60</v>
      </c>
    </row>
    <row r="12" spans="1:3" ht="15" customHeight="1" thickBot="1" x14ac:dyDescent="0.3">
      <c r="A12" s="44" t="s">
        <v>67</v>
      </c>
      <c r="B12" s="46">
        <f>34873851903/1000</f>
        <v>34873851.902999997</v>
      </c>
      <c r="C12" s="46">
        <f>34587949648/1000</f>
        <v>34587949.648000002</v>
      </c>
    </row>
    <row r="13" spans="1:3" ht="15" customHeight="1" thickBot="1" x14ac:dyDescent="0.3">
      <c r="A13" s="44" t="s">
        <v>68</v>
      </c>
      <c r="B13" s="46">
        <f>746530611.94/1000</f>
        <v>746530.61194000009</v>
      </c>
      <c r="C13" s="46">
        <f>451757108/1000</f>
        <v>451757.10800000001</v>
      </c>
    </row>
    <row r="14" spans="1:3" ht="15" customHeight="1" thickBot="1" x14ac:dyDescent="0.3">
      <c r="A14" s="44" t="s">
        <v>69</v>
      </c>
      <c r="B14" s="46">
        <f>1839240000/1000</f>
        <v>1839240</v>
      </c>
      <c r="C14" s="46">
        <v>0</v>
      </c>
    </row>
    <row r="17" spans="1:3" ht="15" customHeight="1" thickBot="1" x14ac:dyDescent="0.3">
      <c r="A17" s="47"/>
    </row>
    <row r="18" spans="1:3" ht="15" customHeight="1" thickBot="1" x14ac:dyDescent="0.3">
      <c r="A18" s="44" t="s">
        <v>63</v>
      </c>
      <c r="B18" s="45" t="s">
        <v>62</v>
      </c>
      <c r="C18" s="45" t="s">
        <v>60</v>
      </c>
    </row>
    <row r="19" spans="1:3" ht="15" customHeight="1" thickBot="1" x14ac:dyDescent="0.3">
      <c r="A19" s="57" t="s">
        <v>70</v>
      </c>
      <c r="B19" s="46">
        <f>143255178.61/1000</f>
        <v>143255.17861</v>
      </c>
      <c r="C19" s="46" t="s">
        <v>89</v>
      </c>
    </row>
    <row r="20" spans="1:3" ht="15" customHeight="1" thickBot="1" x14ac:dyDescent="0.3">
      <c r="A20" s="57" t="s">
        <v>71</v>
      </c>
      <c r="B20" s="46">
        <f>435097584.3/1000</f>
        <v>435097.58429999999</v>
      </c>
      <c r="C20" s="46" t="s">
        <v>90</v>
      </c>
    </row>
    <row r="21" spans="1:3" ht="15" customHeight="1" thickBot="1" x14ac:dyDescent="0.3">
      <c r="A21" s="57" t="s">
        <v>72</v>
      </c>
      <c r="B21" s="46">
        <f>267287905.01/1000</f>
        <v>267287.90500999999</v>
      </c>
      <c r="C21" s="58" t="s">
        <v>91</v>
      </c>
    </row>
    <row r="22" spans="1:3" ht="15" customHeight="1" thickBot="1" x14ac:dyDescent="0.3">
      <c r="A22" s="57" t="s">
        <v>73</v>
      </c>
      <c r="B22" s="46">
        <f>149064710.56/1000</f>
        <v>149064.71056000001</v>
      </c>
      <c r="C22" s="58" t="s">
        <v>92</v>
      </c>
    </row>
    <row r="23" spans="1:3" ht="15" customHeight="1" thickBot="1" x14ac:dyDescent="0.3">
      <c r="A23" s="57" t="s">
        <v>74</v>
      </c>
      <c r="B23" s="46">
        <f>127549114.07/1000</f>
        <v>127549.11407</v>
      </c>
      <c r="C23" s="58" t="s">
        <v>93</v>
      </c>
    </row>
    <row r="24" spans="1:3" ht="15" customHeight="1" thickBot="1" x14ac:dyDescent="0.3">
      <c r="A24" s="57" t="s">
        <v>75</v>
      </c>
      <c r="B24" s="46">
        <f>65401583.1/1000</f>
        <v>65401.583100000003</v>
      </c>
      <c r="C24" s="58" t="s">
        <v>94</v>
      </c>
    </row>
    <row r="25" spans="1:3" ht="15" customHeight="1" thickBot="1" x14ac:dyDescent="0.3">
      <c r="A25" s="57" t="s">
        <v>76</v>
      </c>
      <c r="B25" s="46">
        <f>151078779.44/1000</f>
        <v>151078.77943999998</v>
      </c>
      <c r="C25" s="58" t="s">
        <v>95</v>
      </c>
    </row>
    <row r="26" spans="1:3" ht="15" customHeight="1" thickBot="1" x14ac:dyDescent="0.3">
      <c r="A26" s="57" t="s">
        <v>77</v>
      </c>
      <c r="B26" s="46">
        <f>219930281.55/1000</f>
        <v>219930.28155000001</v>
      </c>
      <c r="C26" s="58" t="s">
        <v>96</v>
      </c>
    </row>
    <row r="27" spans="1:3" ht="15" customHeight="1" thickBot="1" x14ac:dyDescent="0.3">
      <c r="A27" s="57" t="s">
        <v>78</v>
      </c>
      <c r="B27" s="46">
        <f>103754421.69/1000</f>
        <v>103754.42169</v>
      </c>
      <c r="C27" s="58" t="s">
        <v>97</v>
      </c>
    </row>
    <row r="29" spans="1:3" ht="15" customHeight="1" thickBot="1" x14ac:dyDescent="0.3">
      <c r="A29" s="48"/>
    </row>
    <row r="30" spans="1:3" ht="15" customHeight="1" thickBot="1" x14ac:dyDescent="0.3">
      <c r="A30" s="44" t="s">
        <v>63</v>
      </c>
      <c r="B30" s="45" t="s">
        <v>62</v>
      </c>
      <c r="C30" s="45" t="s">
        <v>60</v>
      </c>
    </row>
    <row r="31" spans="1:3" ht="32.25" customHeight="1" thickBot="1" x14ac:dyDescent="0.3">
      <c r="A31" s="49" t="s">
        <v>79</v>
      </c>
      <c r="B31" s="46">
        <f>1595987553.44/1000</f>
        <v>1595987.5534400002</v>
      </c>
      <c r="C31" s="56" t="s">
        <v>98</v>
      </c>
    </row>
    <row r="32" spans="1:3" ht="15" customHeight="1" thickBot="1" x14ac:dyDescent="0.3">
      <c r="A32" s="49" t="s">
        <v>80</v>
      </c>
      <c r="B32" s="46">
        <f>57239933/1000</f>
        <v>57239.932999999997</v>
      </c>
      <c r="C32" s="59" t="s">
        <v>99</v>
      </c>
    </row>
    <row r="33" spans="1:3" ht="15" customHeight="1" thickBot="1" x14ac:dyDescent="0.3">
      <c r="A33" s="49" t="s">
        <v>81</v>
      </c>
      <c r="B33" s="46">
        <f>456548368.35/1000</f>
        <v>456548.36835</v>
      </c>
      <c r="C33" s="60" t="s">
        <v>100</v>
      </c>
    </row>
    <row r="34" spans="1:3" ht="15" customHeight="1" thickBot="1" x14ac:dyDescent="0.3">
      <c r="A34" s="49" t="s">
        <v>82</v>
      </c>
      <c r="B34" s="46">
        <f>49787224.93/1000</f>
        <v>49787.224929999997</v>
      </c>
      <c r="C34" s="59" t="s">
        <v>101</v>
      </c>
    </row>
    <row r="35" spans="1:3" ht="15" customHeight="1" thickBot="1" x14ac:dyDescent="0.3">
      <c r="A35" s="49" t="s">
        <v>83</v>
      </c>
      <c r="B35" s="46">
        <f>388842503.55/1000</f>
        <v>388842.50355000002</v>
      </c>
      <c r="C35" s="61">
        <v>376737030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customHeight="1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</dc:creator>
  <cp:lastModifiedBy>una</cp:lastModifiedBy>
  <cp:lastPrinted>2019-04-10T16:23:56Z</cp:lastPrinted>
  <dcterms:created xsi:type="dcterms:W3CDTF">2017-01-12T17:51:03Z</dcterms:created>
  <dcterms:modified xsi:type="dcterms:W3CDTF">2019-04-10T16:51:17Z</dcterms:modified>
</cp:coreProperties>
</file>