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202300"/>
  <mc:AlternateContent xmlns:mc="http://schemas.openxmlformats.org/markup-compatibility/2006">
    <mc:Choice Requires="x15">
      <x15ac:absPath xmlns:x15ac="http://schemas.microsoft.com/office/spreadsheetml/2010/11/ac" url="C:\Users\Milton Lacayo PGF\OneDrive - Universidad Nacional de Costa Rica\Escritorio\Presupuesto\UNA TRANSPARENCIA\2025\2 II PEX 2025\"/>
    </mc:Choice>
  </mc:AlternateContent>
  <xr:revisionPtr revIDLastSave="0" documentId="13_ncr:1_{19BFE059-4B94-41E6-B8C6-566E75C42CDF}" xr6:coauthVersionLast="47" xr6:coauthVersionMax="47" xr10:uidLastSave="{00000000-0000-0000-0000-000000000000}"/>
  <bookViews>
    <workbookView xWindow="10452" yWindow="0" windowWidth="12684" windowHeight="12336" firstSheet="7" activeTab="8" xr2:uid="{BEE78B94-AEF3-41E5-9AAD-4CABA90233F8}"/>
  </bookViews>
  <sheets>
    <sheet name="RESUMEN DE INGRESOS gastos" sheetId="4" r:id="rId1"/>
    <sheet name="SUPERÁVIT" sheetId="5" r:id="rId2"/>
    <sheet name="plantilla purianual" sheetId="9" r:id="rId3"/>
    <sheet name="gráficos" sheetId="8" r:id="rId4"/>
    <sheet name="origen colones " sheetId="1" r:id="rId5"/>
    <sheet name="origen y aplicaclasif economico" sheetId="2" r:id="rId6"/>
    <sheet name="clasificación económica" sheetId="3" r:id="rId7"/>
    <sheet name="Hoja2" sheetId="7" r:id="rId8"/>
    <sheet name="regla fiscal" sheetId="6" r:id="rId9"/>
  </sheets>
  <externalReferences>
    <externalReference r:id="rId10"/>
    <externalReference r:id="rId11"/>
    <externalReference r:id="rId12"/>
  </externalReferences>
  <definedNames>
    <definedName name="___xlfn_IFERROR">NA()</definedName>
    <definedName name="__xlfn_IFERROR">NA()</definedName>
    <definedName name="A_IMPRESION_IM" localSheetId="5">#REF!</definedName>
    <definedName name="A_IMPRESION_IM">#REF!</definedName>
    <definedName name="A_impresión_IM" localSheetId="5">#REF!</definedName>
    <definedName name="A_impresión_IM">#REF!</definedName>
    <definedName name="_xlnm.Print_Area" localSheetId="4">'origen colones '!$A$99:$K$154</definedName>
    <definedName name="_xlnm.Print_Area" localSheetId="5">'origen y aplicaclasif economico'!$E$2:$G$22</definedName>
    <definedName name="_xlnm.Print_Area" localSheetId="0">'RESUMEN DE INGRESOS gastos'!#REF!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77" i="9" l="1"/>
  <c r="D77" i="9"/>
  <c r="C77" i="9"/>
  <c r="B77" i="9"/>
  <c r="E63" i="9"/>
  <c r="D63" i="9"/>
  <c r="C63" i="9"/>
  <c r="B63" i="9"/>
  <c r="E55" i="9"/>
  <c r="E84" i="9" s="1"/>
  <c r="D55" i="9"/>
  <c r="D84" i="9" s="1"/>
  <c r="C55" i="9"/>
  <c r="C84" i="9" s="1"/>
  <c r="B55" i="9"/>
  <c r="B84" i="9" s="1"/>
  <c r="E41" i="9"/>
  <c r="D41" i="9"/>
  <c r="C41" i="9"/>
  <c r="B41" i="9"/>
  <c r="E27" i="9"/>
  <c r="E51" i="9" s="1"/>
  <c r="D27" i="9"/>
  <c r="D51" i="9" s="1"/>
  <c r="C27" i="9"/>
  <c r="C51" i="9" s="1"/>
  <c r="B27" i="9"/>
  <c r="B51" i="9" s="1"/>
  <c r="E12" i="9"/>
  <c r="D12" i="9"/>
  <c r="C12" i="9"/>
  <c r="B12" i="9"/>
  <c r="D28" i="7"/>
  <c r="H42" i="6"/>
  <c r="E41" i="6"/>
  <c r="K41" i="6" s="1"/>
  <c r="C41" i="6"/>
  <c r="E40" i="6"/>
  <c r="K40" i="6" s="1"/>
  <c r="C40" i="6"/>
  <c r="K39" i="6"/>
  <c r="C39" i="6"/>
  <c r="K38" i="6"/>
  <c r="C38" i="6"/>
  <c r="C42" i="6" s="1"/>
  <c r="K37" i="6"/>
  <c r="E36" i="6"/>
  <c r="E35" i="6" s="1"/>
  <c r="D36" i="6"/>
  <c r="D35" i="6" s="1"/>
  <c r="D34" i="6" s="1"/>
  <c r="D42" i="6" s="1"/>
  <c r="C35" i="6"/>
  <c r="C34" i="6"/>
  <c r="K33" i="6"/>
  <c r="E33" i="6"/>
  <c r="J32" i="6"/>
  <c r="J42" i="6" s="1"/>
  <c r="I32" i="6"/>
  <c r="I42" i="6" s="1"/>
  <c r="H32" i="6"/>
  <c r="K32" i="6" s="1"/>
  <c r="G32" i="6"/>
  <c r="G42" i="6" s="1"/>
  <c r="F32" i="6"/>
  <c r="F42" i="6" s="1"/>
  <c r="E32" i="6"/>
  <c r="C32" i="6"/>
  <c r="K30" i="6"/>
  <c r="L30" i="6" s="1"/>
  <c r="D30" i="6"/>
  <c r="M30" i="6" s="1"/>
  <c r="K29" i="6"/>
  <c r="L29" i="6" s="1"/>
  <c r="D29" i="6"/>
  <c r="M29" i="6" s="1"/>
  <c r="K28" i="6"/>
  <c r="L28" i="6" s="1"/>
  <c r="D28" i="6"/>
  <c r="M28" i="6" s="1"/>
  <c r="K27" i="6"/>
  <c r="L27" i="6" s="1"/>
  <c r="D27" i="6"/>
  <c r="M27" i="6" s="1"/>
  <c r="K26" i="6"/>
  <c r="M26" i="6" s="1"/>
  <c r="H26" i="6"/>
  <c r="E26" i="6"/>
  <c r="D26" i="6"/>
  <c r="J25" i="6"/>
  <c r="J19" i="6" s="1"/>
  <c r="I25" i="6"/>
  <c r="I19" i="6" s="1"/>
  <c r="H25" i="6"/>
  <c r="K25" i="6" s="1"/>
  <c r="L25" i="6" s="1"/>
  <c r="G25" i="6"/>
  <c r="F25" i="6"/>
  <c r="E25" i="6"/>
  <c r="D25" i="6"/>
  <c r="C25" i="6"/>
  <c r="M24" i="6"/>
  <c r="L24" i="6"/>
  <c r="K24" i="6"/>
  <c r="D24" i="6"/>
  <c r="K23" i="6"/>
  <c r="L23" i="6" s="1"/>
  <c r="D23" i="6"/>
  <c r="M23" i="6" s="1"/>
  <c r="M22" i="6"/>
  <c r="L22" i="6"/>
  <c r="K22" i="6"/>
  <c r="D22" i="6"/>
  <c r="K21" i="6"/>
  <c r="L21" i="6" s="1"/>
  <c r="E21" i="6"/>
  <c r="D21" i="6"/>
  <c r="D20" i="6" s="1"/>
  <c r="J20" i="6"/>
  <c r="I20" i="6"/>
  <c r="H20" i="6"/>
  <c r="K20" i="6" s="1"/>
  <c r="L20" i="6" s="1"/>
  <c r="G20" i="6"/>
  <c r="F20" i="6"/>
  <c r="F19" i="6" s="1"/>
  <c r="E20" i="6"/>
  <c r="E19" i="6" s="1"/>
  <c r="C20" i="6"/>
  <c r="H19" i="6"/>
  <c r="K19" i="6" s="1"/>
  <c r="L19" i="6" s="1"/>
  <c r="G19" i="6"/>
  <c r="C19" i="6"/>
  <c r="K18" i="6"/>
  <c r="L18" i="6" s="1"/>
  <c r="E18" i="6"/>
  <c r="D18" i="6"/>
  <c r="K17" i="6"/>
  <c r="L17" i="6" s="1"/>
  <c r="E17" i="6"/>
  <c r="D17" i="6"/>
  <c r="M17" i="6" s="1"/>
  <c r="M16" i="6"/>
  <c r="L16" i="6"/>
  <c r="K16" i="6"/>
  <c r="E16" i="6"/>
  <c r="D16" i="6"/>
  <c r="J15" i="6"/>
  <c r="K15" i="6" s="1"/>
  <c r="L15" i="6" s="1"/>
  <c r="I15" i="6"/>
  <c r="H15" i="6"/>
  <c r="G15" i="6"/>
  <c r="F15" i="6"/>
  <c r="E15" i="6"/>
  <c r="C15" i="6"/>
  <c r="M14" i="6"/>
  <c r="L14" i="6"/>
  <c r="K14" i="6"/>
  <c r="D14" i="6"/>
  <c r="E13" i="6"/>
  <c r="K13" i="6" s="1"/>
  <c r="L13" i="6" s="1"/>
  <c r="D13" i="6"/>
  <c r="C13" i="6"/>
  <c r="I12" i="6"/>
  <c r="G12" i="6"/>
  <c r="F12" i="6"/>
  <c r="E12" i="6"/>
  <c r="K12" i="6" s="1"/>
  <c r="L12" i="6" s="1"/>
  <c r="D12" i="6"/>
  <c r="M12" i="6" s="1"/>
  <c r="C12" i="6"/>
  <c r="K11" i="6"/>
  <c r="L11" i="6" s="1"/>
  <c r="E11" i="6"/>
  <c r="D11" i="6"/>
  <c r="M11" i="6" s="1"/>
  <c r="M10" i="6"/>
  <c r="L10" i="6"/>
  <c r="K10" i="6"/>
  <c r="E10" i="6"/>
  <c r="D10" i="6"/>
  <c r="J9" i="6"/>
  <c r="J8" i="6" s="1"/>
  <c r="J7" i="6" s="1"/>
  <c r="I9" i="6"/>
  <c r="K9" i="6" s="1"/>
  <c r="H9" i="6"/>
  <c r="G9" i="6"/>
  <c r="F9" i="6"/>
  <c r="E9" i="6"/>
  <c r="C9" i="6"/>
  <c r="C8" i="6" s="1"/>
  <c r="C7" i="6" s="1"/>
  <c r="H8" i="6"/>
  <c r="G8" i="6"/>
  <c r="F8" i="6"/>
  <c r="F7" i="6" s="1"/>
  <c r="F31" i="6" s="1"/>
  <c r="E8" i="6"/>
  <c r="E7" i="6" s="1"/>
  <c r="H7" i="6"/>
  <c r="G7" i="6"/>
  <c r="G31" i="6" s="1"/>
  <c r="B26" i="4"/>
  <c r="B25" i="4"/>
  <c r="B24" i="4"/>
  <c r="B23" i="4"/>
  <c r="B22" i="4"/>
  <c r="B21" i="4"/>
  <c r="B20" i="4"/>
  <c r="B12" i="4"/>
  <c r="A12" i="4"/>
  <c r="B11" i="4"/>
  <c r="A11" i="4"/>
  <c r="B10" i="4"/>
  <c r="B9" i="4"/>
  <c r="B8" i="4"/>
  <c r="A8" i="4"/>
  <c r="B7" i="4"/>
  <c r="A7" i="4"/>
  <c r="I32" i="2"/>
  <c r="H32" i="2"/>
  <c r="G32" i="2"/>
  <c r="I26" i="2"/>
  <c r="F26" i="2" s="1"/>
  <c r="G26" i="2"/>
  <c r="G25" i="2" s="1"/>
  <c r="H25" i="2"/>
  <c r="I23" i="2"/>
  <c r="H23" i="2"/>
  <c r="F23" i="2" s="1"/>
  <c r="G23" i="2"/>
  <c r="G22" i="2" s="1"/>
  <c r="I22" i="2"/>
  <c r="C22" i="2"/>
  <c r="I21" i="2"/>
  <c r="G19" i="2"/>
  <c r="F19" i="2" s="1"/>
  <c r="I18" i="2"/>
  <c r="H18" i="2"/>
  <c r="G18" i="2"/>
  <c r="F18" i="2" s="1"/>
  <c r="I14" i="2"/>
  <c r="I12" i="2" s="1"/>
  <c r="I10" i="2" s="1"/>
  <c r="H14" i="2"/>
  <c r="H12" i="2" s="1"/>
  <c r="H10" i="2" s="1"/>
  <c r="G14" i="2"/>
  <c r="E221" i="1"/>
  <c r="J215" i="1"/>
  <c r="E213" i="1"/>
  <c r="D212" i="1"/>
  <c r="D211" i="1" s="1"/>
  <c r="J208" i="1"/>
  <c r="I207" i="1"/>
  <c r="K207" i="1" s="1"/>
  <c r="E207" i="1"/>
  <c r="I206" i="1"/>
  <c r="K206" i="1" s="1"/>
  <c r="K205" i="1"/>
  <c r="K208" i="1" s="1"/>
  <c r="I205" i="1"/>
  <c r="D205" i="1"/>
  <c r="D208" i="1" s="1"/>
  <c r="J203" i="1"/>
  <c r="I203" i="1"/>
  <c r="K202" i="1"/>
  <c r="K201" i="1"/>
  <c r="K200" i="1"/>
  <c r="K203" i="1" s="1"/>
  <c r="E200" i="1"/>
  <c r="K199" i="1"/>
  <c r="E199" i="1"/>
  <c r="D199" i="1"/>
  <c r="D203" i="1" s="1"/>
  <c r="C199" i="1"/>
  <c r="C203" i="1" s="1"/>
  <c r="E203" i="1" s="1"/>
  <c r="J197" i="1"/>
  <c r="K197" i="1" s="1"/>
  <c r="E196" i="1"/>
  <c r="J195" i="1"/>
  <c r="K195" i="1" s="1"/>
  <c r="D195" i="1"/>
  <c r="D197" i="1" s="1"/>
  <c r="C195" i="1"/>
  <c r="K193" i="1"/>
  <c r="D193" i="1"/>
  <c r="K192" i="1"/>
  <c r="K191" i="1"/>
  <c r="E191" i="1"/>
  <c r="K190" i="1"/>
  <c r="D190" i="1"/>
  <c r="C190" i="1"/>
  <c r="C193" i="1" s="1"/>
  <c r="E193" i="1" s="1"/>
  <c r="D188" i="1"/>
  <c r="C188" i="1"/>
  <c r="E188" i="1" s="1"/>
  <c r="E187" i="1"/>
  <c r="J186" i="1"/>
  <c r="J188" i="1" s="1"/>
  <c r="D186" i="1"/>
  <c r="C186" i="1"/>
  <c r="E186" i="1" s="1"/>
  <c r="J184" i="1"/>
  <c r="D184" i="1"/>
  <c r="E181" i="1"/>
  <c r="K179" i="1"/>
  <c r="E179" i="1"/>
  <c r="D178" i="1"/>
  <c r="K176" i="1"/>
  <c r="D176" i="1"/>
  <c r="K175" i="1"/>
  <c r="K174" i="1"/>
  <c r="E174" i="1"/>
  <c r="K173" i="1"/>
  <c r="E173" i="1"/>
  <c r="D172" i="1"/>
  <c r="C172" i="1"/>
  <c r="E172" i="1" s="1"/>
  <c r="J170" i="1"/>
  <c r="E169" i="1"/>
  <c r="I168" i="1"/>
  <c r="K168" i="1" s="1"/>
  <c r="K167" i="1"/>
  <c r="I167" i="1"/>
  <c r="I166" i="1"/>
  <c r="K166" i="1" s="1"/>
  <c r="I165" i="1"/>
  <c r="K165" i="1" s="1"/>
  <c r="K164" i="1"/>
  <c r="I164" i="1"/>
  <c r="I170" i="1" s="1"/>
  <c r="D164" i="1"/>
  <c r="D163" i="1" s="1"/>
  <c r="D162" i="1" s="1"/>
  <c r="D122" i="1" s="1"/>
  <c r="K160" i="1"/>
  <c r="J160" i="1"/>
  <c r="I160" i="1"/>
  <c r="C160" i="1"/>
  <c r="E159" i="1"/>
  <c r="E158" i="1"/>
  <c r="E157" i="1"/>
  <c r="I156" i="1"/>
  <c r="K156" i="1" s="1"/>
  <c r="E156" i="1"/>
  <c r="D155" i="1"/>
  <c r="C155" i="1"/>
  <c r="K154" i="1"/>
  <c r="E154" i="1"/>
  <c r="C153" i="1"/>
  <c r="I151" i="1"/>
  <c r="K151" i="1" s="1"/>
  <c r="E150" i="1"/>
  <c r="E149" i="1"/>
  <c r="D148" i="1"/>
  <c r="C148" i="1"/>
  <c r="E148" i="1" s="1"/>
  <c r="E147" i="1"/>
  <c r="K146" i="1"/>
  <c r="E146" i="1"/>
  <c r="D146" i="1"/>
  <c r="C146" i="1"/>
  <c r="K145" i="1"/>
  <c r="D145" i="1"/>
  <c r="E141" i="1"/>
  <c r="E140" i="1"/>
  <c r="D139" i="1"/>
  <c r="D138" i="1" s="1"/>
  <c r="C139" i="1"/>
  <c r="J135" i="1"/>
  <c r="I135" i="1"/>
  <c r="E134" i="1"/>
  <c r="E133" i="1"/>
  <c r="E132" i="1"/>
  <c r="D131" i="1"/>
  <c r="D130" i="1" s="1"/>
  <c r="C131" i="1"/>
  <c r="E131" i="1" s="1"/>
  <c r="C130" i="1"/>
  <c r="K128" i="1"/>
  <c r="E128" i="1"/>
  <c r="K127" i="1"/>
  <c r="E127" i="1"/>
  <c r="D127" i="1"/>
  <c r="C127" i="1"/>
  <c r="C126" i="1" s="1"/>
  <c r="C125" i="1" s="1"/>
  <c r="K126" i="1"/>
  <c r="D126" i="1"/>
  <c r="D125" i="1" s="1"/>
  <c r="A117" i="1"/>
  <c r="E113" i="1"/>
  <c r="K113" i="1" s="1"/>
  <c r="D106" i="1"/>
  <c r="J105" i="1"/>
  <c r="J219" i="1" s="1"/>
  <c r="I105" i="1"/>
  <c r="I219" i="1" s="1"/>
  <c r="C105" i="1"/>
  <c r="I104" i="1"/>
  <c r="J103" i="1"/>
  <c r="C100" i="1"/>
  <c r="C98" i="1" s="1"/>
  <c r="E99" i="1"/>
  <c r="D98" i="1"/>
  <c r="D97" i="1" s="1"/>
  <c r="J94" i="1"/>
  <c r="I94" i="1"/>
  <c r="K93" i="1"/>
  <c r="E93" i="1"/>
  <c r="K92" i="1"/>
  <c r="K94" i="1" s="1"/>
  <c r="C92" i="1"/>
  <c r="E92" i="1" s="1"/>
  <c r="K91" i="1"/>
  <c r="D91" i="1"/>
  <c r="D94" i="1" s="1"/>
  <c r="J89" i="1"/>
  <c r="I89" i="1"/>
  <c r="K88" i="1"/>
  <c r="K87" i="1"/>
  <c r="K86" i="1"/>
  <c r="E86" i="1"/>
  <c r="K85" i="1"/>
  <c r="E85" i="1"/>
  <c r="D85" i="1"/>
  <c r="D89" i="1" s="1"/>
  <c r="C85" i="1"/>
  <c r="C89" i="1" s="1"/>
  <c r="E89" i="1" s="1"/>
  <c r="K83" i="1"/>
  <c r="D83" i="1"/>
  <c r="C83" i="1"/>
  <c r="E83" i="1" s="1"/>
  <c r="E82" i="1"/>
  <c r="J81" i="1"/>
  <c r="J83" i="1" s="1"/>
  <c r="E81" i="1"/>
  <c r="D81" i="1"/>
  <c r="C81" i="1"/>
  <c r="K79" i="1"/>
  <c r="D79" i="1"/>
  <c r="K78" i="1"/>
  <c r="K77" i="1"/>
  <c r="E77" i="1"/>
  <c r="K76" i="1"/>
  <c r="D76" i="1"/>
  <c r="D51" i="1" s="1"/>
  <c r="C76" i="1"/>
  <c r="E73" i="1"/>
  <c r="K72" i="1"/>
  <c r="K74" i="1" s="1"/>
  <c r="J72" i="1"/>
  <c r="J74" i="1" s="1"/>
  <c r="D72" i="1"/>
  <c r="D74" i="1" s="1"/>
  <c r="C72" i="1"/>
  <c r="J70" i="1"/>
  <c r="D70" i="1"/>
  <c r="C68" i="1"/>
  <c r="E68" i="1" s="1"/>
  <c r="E67" i="1"/>
  <c r="E66" i="1"/>
  <c r="C66" i="1"/>
  <c r="E65" i="1"/>
  <c r="I64" i="1"/>
  <c r="D64" i="1"/>
  <c r="K62" i="1"/>
  <c r="K61" i="1"/>
  <c r="K60" i="1"/>
  <c r="E60" i="1"/>
  <c r="K59" i="1"/>
  <c r="E59" i="1"/>
  <c r="E58" i="1"/>
  <c r="D58" i="1"/>
  <c r="D62" i="1" s="1"/>
  <c r="C58" i="1"/>
  <c r="C62" i="1" s="1"/>
  <c r="E62" i="1" s="1"/>
  <c r="K56" i="1"/>
  <c r="J56" i="1"/>
  <c r="I56" i="1"/>
  <c r="D56" i="1"/>
  <c r="C55" i="1"/>
  <c r="E55" i="1" s="1"/>
  <c r="K54" i="1"/>
  <c r="K53" i="1"/>
  <c r="C53" i="1"/>
  <c r="E53" i="1" s="1"/>
  <c r="K52" i="1"/>
  <c r="D52" i="1"/>
  <c r="K51" i="1"/>
  <c r="D50" i="1"/>
  <c r="J48" i="1"/>
  <c r="K48" i="1" s="1"/>
  <c r="I48" i="1"/>
  <c r="E47" i="1"/>
  <c r="E46" i="1"/>
  <c r="E45" i="1"/>
  <c r="K44" i="1"/>
  <c r="I44" i="1"/>
  <c r="E44" i="1"/>
  <c r="D43" i="1"/>
  <c r="C43" i="1"/>
  <c r="K42" i="1"/>
  <c r="E42" i="1"/>
  <c r="I39" i="1"/>
  <c r="K39" i="1" s="1"/>
  <c r="E38" i="1"/>
  <c r="E37" i="1"/>
  <c r="D36" i="1"/>
  <c r="C36" i="1"/>
  <c r="E36" i="1" s="1"/>
  <c r="E35" i="1"/>
  <c r="K34" i="1"/>
  <c r="D34" i="1"/>
  <c r="E34" i="1" s="1"/>
  <c r="C34" i="1"/>
  <c r="K33" i="1"/>
  <c r="C33" i="1"/>
  <c r="C32" i="1" s="1"/>
  <c r="D30" i="1"/>
  <c r="E29" i="1"/>
  <c r="E28" i="1"/>
  <c r="D27" i="1"/>
  <c r="C27" i="1"/>
  <c r="E27" i="1" s="1"/>
  <c r="J26" i="1"/>
  <c r="J30" i="1" s="1"/>
  <c r="D26" i="1"/>
  <c r="D25" i="1" s="1"/>
  <c r="J23" i="1"/>
  <c r="I23" i="1"/>
  <c r="E22" i="1"/>
  <c r="E21" i="1"/>
  <c r="E20" i="1"/>
  <c r="D19" i="1"/>
  <c r="C19" i="1"/>
  <c r="D18" i="1"/>
  <c r="K16" i="1"/>
  <c r="K23" i="1" s="1"/>
  <c r="E16" i="1"/>
  <c r="K15" i="1"/>
  <c r="D15" i="1"/>
  <c r="E15" i="1" s="1"/>
  <c r="C15" i="1"/>
  <c r="K14" i="1"/>
  <c r="D14" i="1"/>
  <c r="D13" i="1" s="1"/>
  <c r="C14" i="1"/>
  <c r="E14" i="1" s="1"/>
  <c r="D19" i="6" l="1"/>
  <c r="M20" i="6"/>
  <c r="E31" i="6"/>
  <c r="K7" i="6"/>
  <c r="L7" i="6" s="1"/>
  <c r="F43" i="6"/>
  <c r="G43" i="6"/>
  <c r="K8" i="6"/>
  <c r="L8" i="6" s="1"/>
  <c r="L9" i="6"/>
  <c r="K35" i="6"/>
  <c r="E34" i="6"/>
  <c r="J31" i="6"/>
  <c r="M13" i="6"/>
  <c r="C31" i="6"/>
  <c r="C43" i="6" s="1"/>
  <c r="M25" i="6"/>
  <c r="I43" i="6"/>
  <c r="J43" i="6"/>
  <c r="L26" i="6"/>
  <c r="D9" i="6"/>
  <c r="D15" i="6"/>
  <c r="M15" i="6" s="1"/>
  <c r="M18" i="6"/>
  <c r="K36" i="6"/>
  <c r="H31" i="6"/>
  <c r="K31" i="6" s="1"/>
  <c r="L31" i="6" s="1"/>
  <c r="I8" i="6"/>
  <c r="I7" i="6" s="1"/>
  <c r="I31" i="6" s="1"/>
  <c r="M21" i="6"/>
  <c r="B13" i="4"/>
  <c r="B27" i="4"/>
  <c r="I109" i="1"/>
  <c r="F14" i="2"/>
  <c r="H30" i="2"/>
  <c r="F25" i="2"/>
  <c r="G21" i="2"/>
  <c r="G12" i="2"/>
  <c r="H22" i="2"/>
  <c r="H21" i="2" s="1"/>
  <c r="I25" i="2"/>
  <c r="I30" i="2" s="1"/>
  <c r="J111" i="1"/>
  <c r="D23" i="1"/>
  <c r="E76" i="1"/>
  <c r="C79" i="1"/>
  <c r="E79" i="1" s="1"/>
  <c r="E98" i="1"/>
  <c r="C97" i="1"/>
  <c r="I182" i="1"/>
  <c r="K182" i="1" s="1"/>
  <c r="K64" i="1"/>
  <c r="D96" i="1"/>
  <c r="D101" i="1"/>
  <c r="D135" i="1"/>
  <c r="D123" i="1"/>
  <c r="D144" i="1"/>
  <c r="D151" i="1"/>
  <c r="D153" i="1"/>
  <c r="D160" i="1"/>
  <c r="E155" i="1"/>
  <c r="E160" i="1"/>
  <c r="C74" i="1"/>
  <c r="E74" i="1" s="1"/>
  <c r="E72" i="1"/>
  <c r="E126" i="1"/>
  <c r="E130" i="1"/>
  <c r="D104" i="1"/>
  <c r="D103" i="1" s="1"/>
  <c r="D220" i="1"/>
  <c r="E106" i="1"/>
  <c r="D210" i="1"/>
  <c r="D215" i="1"/>
  <c r="C18" i="1"/>
  <c r="E18" i="1" s="1"/>
  <c r="E19" i="1"/>
  <c r="J109" i="1"/>
  <c r="J217" i="1"/>
  <c r="K103" i="1"/>
  <c r="C180" i="1"/>
  <c r="I66" i="1"/>
  <c r="I70" i="1" s="1"/>
  <c r="C64" i="1"/>
  <c r="I100" i="1"/>
  <c r="E100" i="1"/>
  <c r="C104" i="1"/>
  <c r="C219" i="1"/>
  <c r="K135" i="1"/>
  <c r="C145" i="1"/>
  <c r="E33" i="1"/>
  <c r="C39" i="1"/>
  <c r="E43" i="1"/>
  <c r="C41" i="1"/>
  <c r="C48" i="1"/>
  <c r="E48" i="1" s="1"/>
  <c r="K89" i="1"/>
  <c r="E105" i="1"/>
  <c r="C135" i="1"/>
  <c r="E135" i="1" s="1"/>
  <c r="E125" i="1"/>
  <c r="C138" i="1"/>
  <c r="E139" i="1"/>
  <c r="C182" i="1"/>
  <c r="E182" i="1" s="1"/>
  <c r="I208" i="1"/>
  <c r="D33" i="1"/>
  <c r="D41" i="1"/>
  <c r="D48" i="1"/>
  <c r="K219" i="1"/>
  <c r="D137" i="1"/>
  <c r="D142" i="1" s="1"/>
  <c r="J138" i="1"/>
  <c r="E153" i="1"/>
  <c r="K170" i="1"/>
  <c r="E195" i="1"/>
  <c r="C197" i="1"/>
  <c r="E197" i="1" s="1"/>
  <c r="C13" i="1"/>
  <c r="C91" i="1"/>
  <c r="C206" i="1"/>
  <c r="K186" i="1"/>
  <c r="K188" i="1" s="1"/>
  <c r="D170" i="1"/>
  <c r="C52" i="1"/>
  <c r="K81" i="1"/>
  <c r="K104" i="1"/>
  <c r="E190" i="1"/>
  <c r="I218" i="1"/>
  <c r="K218" i="1" s="1"/>
  <c r="C176" i="1"/>
  <c r="E176" i="1" s="1"/>
  <c r="C165" i="1"/>
  <c r="C26" i="1"/>
  <c r="K105" i="1"/>
  <c r="D8" i="6" l="1"/>
  <c r="M9" i="6"/>
  <c r="M19" i="6"/>
  <c r="H43" i="6"/>
  <c r="K34" i="6"/>
  <c r="E42" i="6"/>
  <c r="B29" i="4"/>
  <c r="K109" i="1"/>
  <c r="F12" i="2"/>
  <c r="F10" i="2" s="1"/>
  <c r="F30" i="2" s="1"/>
  <c r="G10" i="2"/>
  <c r="G30" i="2" s="1"/>
  <c r="F22" i="2"/>
  <c r="F21" i="2"/>
  <c r="I223" i="1"/>
  <c r="C144" i="1"/>
  <c r="E145" i="1"/>
  <c r="C151" i="1"/>
  <c r="E151" i="1" s="1"/>
  <c r="E180" i="1"/>
  <c r="E178" i="1" s="1"/>
  <c r="C178" i="1"/>
  <c r="C184" i="1" s="1"/>
  <c r="E184" i="1" s="1"/>
  <c r="E64" i="1"/>
  <c r="C70" i="1"/>
  <c r="E70" i="1" s="1"/>
  <c r="C23" i="1"/>
  <c r="E23" i="1" s="1"/>
  <c r="C11" i="1"/>
  <c r="E13" i="1"/>
  <c r="D219" i="1"/>
  <c r="D218" i="1" s="1"/>
  <c r="D217" i="1" s="1"/>
  <c r="E220" i="1"/>
  <c r="C51" i="1"/>
  <c r="C50" i="1" s="1"/>
  <c r="E52" i="1"/>
  <c r="C56" i="1"/>
  <c r="E56" i="1" s="1"/>
  <c r="D39" i="1"/>
  <c r="E39" i="1" s="1"/>
  <c r="D32" i="1"/>
  <c r="C218" i="1"/>
  <c r="K217" i="1"/>
  <c r="K223" i="1" s="1"/>
  <c r="J223" i="1"/>
  <c r="J225" i="1" s="1"/>
  <c r="D109" i="1"/>
  <c r="I26" i="1"/>
  <c r="E26" i="1"/>
  <c r="C25" i="1"/>
  <c r="C164" i="1"/>
  <c r="E165" i="1"/>
  <c r="J142" i="1"/>
  <c r="E41" i="1"/>
  <c r="E91" i="1"/>
  <c r="C94" i="1"/>
  <c r="E94" i="1" s="1"/>
  <c r="E138" i="1"/>
  <c r="I138" i="1"/>
  <c r="I142" i="1" s="1"/>
  <c r="K142" i="1" s="1"/>
  <c r="C137" i="1"/>
  <c r="C96" i="1"/>
  <c r="E96" i="1" s="1"/>
  <c r="C101" i="1"/>
  <c r="E101" i="1" s="1"/>
  <c r="E97" i="1"/>
  <c r="K66" i="1"/>
  <c r="K70" i="1" s="1"/>
  <c r="I180" i="1"/>
  <c r="C103" i="1"/>
  <c r="E104" i="1"/>
  <c r="C205" i="1"/>
  <c r="E206" i="1"/>
  <c r="I101" i="1"/>
  <c r="I214" i="1"/>
  <c r="K100" i="1"/>
  <c r="K101" i="1" s="1"/>
  <c r="M8" i="6" l="1"/>
  <c r="D7" i="6"/>
  <c r="E43" i="6"/>
  <c r="K43" i="6" s="1"/>
  <c r="K42" i="6"/>
  <c r="E219" i="1"/>
  <c r="C217" i="1"/>
  <c r="E218" i="1"/>
  <c r="C109" i="1"/>
  <c r="E109" i="1" s="1"/>
  <c r="E103" i="1"/>
  <c r="E25" i="1"/>
  <c r="C30" i="1"/>
  <c r="E30" i="1" s="1"/>
  <c r="E32" i="1"/>
  <c r="D11" i="1"/>
  <c r="D10" i="1" s="1"/>
  <c r="D111" i="1" s="1"/>
  <c r="D223" i="1"/>
  <c r="D225" i="1"/>
  <c r="I184" i="1"/>
  <c r="K180" i="1"/>
  <c r="K184" i="1" s="1"/>
  <c r="K225" i="1" s="1"/>
  <c r="I215" i="1"/>
  <c r="C214" i="1"/>
  <c r="K214" i="1"/>
  <c r="K215" i="1" s="1"/>
  <c r="I30" i="1"/>
  <c r="K26" i="1"/>
  <c r="E11" i="1"/>
  <c r="C10" i="1"/>
  <c r="E10" i="1" s="1"/>
  <c r="E144" i="1"/>
  <c r="C123" i="1"/>
  <c r="E123" i="1" s="1"/>
  <c r="E205" i="1"/>
  <c r="C208" i="1"/>
  <c r="E208" i="1" s="1"/>
  <c r="E137" i="1"/>
  <c r="C142" i="1"/>
  <c r="E142" i="1" s="1"/>
  <c r="C170" i="1"/>
  <c r="E170" i="1" s="1"/>
  <c r="C163" i="1"/>
  <c r="C162" i="1" s="1"/>
  <c r="C122" i="1" s="1"/>
  <c r="E122" i="1" s="1"/>
  <c r="E164" i="1"/>
  <c r="E163" i="1" s="1"/>
  <c r="K138" i="1"/>
  <c r="E51" i="1"/>
  <c r="E50" i="1" s="1"/>
  <c r="M7" i="6" l="1"/>
  <c r="D31" i="6"/>
  <c r="C111" i="1"/>
  <c r="E111" i="1" s="1"/>
  <c r="I225" i="1"/>
  <c r="C212" i="1"/>
  <c r="E214" i="1"/>
  <c r="E162" i="1"/>
  <c r="K30" i="1"/>
  <c r="K111" i="1" s="1"/>
  <c r="I111" i="1"/>
  <c r="E217" i="1"/>
  <c r="C223" i="1"/>
  <c r="E223" i="1" s="1"/>
  <c r="M31" i="6" l="1"/>
  <c r="D43" i="6"/>
  <c r="E212" i="1"/>
  <c r="C211" i="1"/>
  <c r="C210" i="1" l="1"/>
  <c r="C215" i="1"/>
  <c r="E215" i="1" s="1"/>
  <c r="E211" i="1"/>
  <c r="E210" i="1" l="1"/>
  <c r="C225" i="1"/>
  <c r="E225" i="1" s="1"/>
</calcChain>
</file>

<file path=xl/sharedStrings.xml><?xml version="1.0" encoding="utf-8"?>
<sst xmlns="http://schemas.openxmlformats.org/spreadsheetml/2006/main" count="880" uniqueCount="455">
  <si>
    <t>UNIVERSIDAD NACIONAL</t>
  </si>
  <si>
    <t>PRESUPUESTO EXTRAORDINARIO 2-2025</t>
  </si>
  <si>
    <t>ORIGEN Y APLICACIÓN DE LOS RECURSOS NETO</t>
  </si>
  <si>
    <t>(cifras en colones corrientes)</t>
  </si>
  <si>
    <t>ORIGEN DE LOS RECURSOS</t>
  </si>
  <si>
    <t>ORIGEN GENERAL</t>
  </si>
  <si>
    <t>ORIGEN ESPECIFICO</t>
  </si>
  <si>
    <t>TOTAL</t>
  </si>
  <si>
    <t>APLICACIÓN DE LOS RECURSOS</t>
  </si>
  <si>
    <t xml:space="preserve">1.0.0.0.00.00.0.0.000 </t>
  </si>
  <si>
    <t>INGRESOS CORRIENTES</t>
  </si>
  <si>
    <t>1.3.0.0.00.00.0.0.000</t>
  </si>
  <si>
    <t>INGRESOS  NO  TRIBUTARIOS</t>
  </si>
  <si>
    <t xml:space="preserve">1.3.1.0.00.00.0.0.000 </t>
  </si>
  <si>
    <t>VENTA  DE  BIENES  Y  SERVICIOS</t>
  </si>
  <si>
    <t>1.3.1.2.00.00.0.0.000</t>
  </si>
  <si>
    <t>VENTA  DE  SERVICIOS</t>
  </si>
  <si>
    <t>1.00.00</t>
  </si>
  <si>
    <t>SERVICIOS</t>
  </si>
  <si>
    <t>1.3.1.2.04.00.0.0.000</t>
  </si>
  <si>
    <t>ALQUILERES</t>
  </si>
  <si>
    <t>5.00.00</t>
  </si>
  <si>
    <t>BIENES DURADEROS</t>
  </si>
  <si>
    <t>1.3.1.2.04.01.0.0.000</t>
  </si>
  <si>
    <t>Alquiler de edificios e instalaciones</t>
  </si>
  <si>
    <t>6.00.00</t>
  </si>
  <si>
    <t>TRANSFERENCIAS CORRIENTES</t>
  </si>
  <si>
    <t>1.3.1.2.09.00.0.0.000</t>
  </si>
  <si>
    <t>OTROS SERVICIOS</t>
  </si>
  <si>
    <t>1.3.1.2.09.09.0.0.000</t>
  </si>
  <si>
    <t>Venta Otros  Servicios</t>
  </si>
  <si>
    <t>1.3.1.2.09.09.0.0.001</t>
  </si>
  <si>
    <t>Venta Servicios Vinculo Externo</t>
  </si>
  <si>
    <t>1.3.1.2.09.09.0.0.002</t>
  </si>
  <si>
    <t>Fondo Institucional Desarrollo FIDA</t>
  </si>
  <si>
    <t>1.3.1.2.09.09.0.0.003</t>
  </si>
  <si>
    <t>Comisión nacional de Prevensión de Riesgos y Atenc. Emer. (CNE)</t>
  </si>
  <si>
    <t>Subtotal Bienes y servicios</t>
  </si>
  <si>
    <t>Total egresos Venta de servicios</t>
  </si>
  <si>
    <t xml:space="preserve">1.3.1.3.00.00.0.0.000 </t>
  </si>
  <si>
    <t>DERECHOS ADMINISTRATIVOS</t>
  </si>
  <si>
    <t xml:space="preserve">1.3.1.3.02.00.0.0.000 </t>
  </si>
  <si>
    <t>DERECHOS ADM. A OTROS SERVICIOS PUBL.</t>
  </si>
  <si>
    <t>1.3.1.3.02.02.0.0.000</t>
  </si>
  <si>
    <t>DERECHOS  Y  TASAS  ADMINIST.(EDUCACION)</t>
  </si>
  <si>
    <t>1.3.1.3.02.02.0.0.004</t>
  </si>
  <si>
    <t>Derechos Matrícula Cursos Regulares</t>
  </si>
  <si>
    <t>1.3.1.3.02.02.0.0.008</t>
  </si>
  <si>
    <t>Derechos de Inscripción</t>
  </si>
  <si>
    <t>Subtotal Derechos Administrativos</t>
  </si>
  <si>
    <t>Total egresos Derechos Administrativos</t>
  </si>
  <si>
    <t xml:space="preserve">1.3.2.0.00.00.0.0.000 </t>
  </si>
  <si>
    <t>INGRESOS  DE  LA  PROPIEDAD</t>
  </si>
  <si>
    <t xml:space="preserve">1.3.2.3.00.00.0.0.000 </t>
  </si>
  <si>
    <t>RENTA DE ACTIVOS FINANCIEROS</t>
  </si>
  <si>
    <t>1.3.2.3.01.00.0.0.000</t>
  </si>
  <si>
    <t>INTERESES SOBRE TITULOS VALORES</t>
  </si>
  <si>
    <t>2.00.00</t>
  </si>
  <si>
    <t>MATERIALES</t>
  </si>
  <si>
    <t xml:space="preserve">1.3.2.3.01.06.0.0.000 </t>
  </si>
  <si>
    <t>Intereses S/Titulos Val. Inst.</t>
  </si>
  <si>
    <t>1.3.2.3.03.00.0.0.000</t>
  </si>
  <si>
    <t>Otras Rentas de Activos Financieros</t>
  </si>
  <si>
    <t>1.3.2.3.03.01.0.0.000</t>
  </si>
  <si>
    <t>Intereses Sobre Cuentas Corrientes y Otros</t>
  </si>
  <si>
    <t>1.3.2.3.03.04.0.0.000</t>
  </si>
  <si>
    <t>Diferencias por Tipo de Cambio</t>
  </si>
  <si>
    <t>Subtotal Renta de Activos financieros</t>
  </si>
  <si>
    <t>Total egresos Renta de Activos financieros</t>
  </si>
  <si>
    <t>1.3.9.0.00.00.0.0.000</t>
  </si>
  <si>
    <t>OTROS  INGRESOS  NO  TRIBUTARIOS</t>
  </si>
  <si>
    <t xml:space="preserve">1.3.9.1.00.00.0.0.000 </t>
  </si>
  <si>
    <t>Reintegros en Efectivo</t>
  </si>
  <si>
    <t>1.3.9.9.00.00.0.0.000</t>
  </si>
  <si>
    <t>Otros  Ingresos no Especificados</t>
  </si>
  <si>
    <t>1.3.9.9.00.00.0.0.003</t>
  </si>
  <si>
    <t>Ingresos Varios</t>
  </si>
  <si>
    <t>1.3.9.9.00.00.0.0.004</t>
  </si>
  <si>
    <t>Intereses Varios</t>
  </si>
  <si>
    <t>1.3.9.9.00.00.0.0.005</t>
  </si>
  <si>
    <t xml:space="preserve">Ingresos Varios No Especificados </t>
  </si>
  <si>
    <t xml:space="preserve">1.3.9.9.00.00.0.0.006 </t>
  </si>
  <si>
    <t>Convenio tarjetas Banco Nacional de Costa Rica</t>
  </si>
  <si>
    <t>Subtotal Otros ingresos no especificados</t>
  </si>
  <si>
    <t>Total egresos Otros ingresos no especificados</t>
  </si>
  <si>
    <t>1.4.0.0.00.00.0.0.000</t>
  </si>
  <si>
    <t>TRANSFERENCIAS  CORRIENTES</t>
  </si>
  <si>
    <t>1.4.1.0.00.00.0.0.000</t>
  </si>
  <si>
    <t>TRANSFERENCIAS CORRIENTES SECTOR PUBLICO</t>
  </si>
  <si>
    <t>1.4.1.1.00.00.0.0.000</t>
  </si>
  <si>
    <t>TRANSFERNCIAS CORRIENTES DEL GOBIERNO  CENTRAL</t>
  </si>
  <si>
    <t>1.4.1.1.00.00.0.0.001</t>
  </si>
  <si>
    <t>Fdo. Espec. Financ. Educ. Sup. (FEES)</t>
  </si>
  <si>
    <t xml:space="preserve">1.4.1.1.00.00.0.0.002 </t>
  </si>
  <si>
    <t>Ley 9635 Fortalecimiento Finanzas Públicas</t>
  </si>
  <si>
    <t>Subtotal Gobierno Central</t>
  </si>
  <si>
    <t>Total egresos Gobierno Central</t>
  </si>
  <si>
    <t>1.4.1.2.00.00.0.0.000</t>
  </si>
  <si>
    <t>TRANSFERENCIAS CORRIENTES DE ORGANOS DESCON.</t>
  </si>
  <si>
    <t>1.4.1.2.00.00.0.0.001</t>
  </si>
  <si>
    <t>1.4.1.2.03.00.0.0.000</t>
  </si>
  <si>
    <t>COMISION NAC. PREV. RIESGO Y EMERGENCIA</t>
  </si>
  <si>
    <t>SubtotalTranf corr. De organos descon.</t>
  </si>
  <si>
    <t>Total egresos Tranf corr. De organos descon.</t>
  </si>
  <si>
    <t>1.4.1.3.00.00.0.0.000</t>
  </si>
  <si>
    <t>TRANSFERENCIAS CORR. DE INST. DESCON. NO EMPR</t>
  </si>
  <si>
    <t>1.4.1.3.00.00.0.0.001</t>
  </si>
  <si>
    <t>CONICIT</t>
  </si>
  <si>
    <t xml:space="preserve">1.4.1.3.00.00.0.0.002 </t>
  </si>
  <si>
    <t>CONARE</t>
  </si>
  <si>
    <t>1.4.1.3.00.00.0.0.005</t>
  </si>
  <si>
    <t>Universidad Estatal a Distancia UNED</t>
  </si>
  <si>
    <t>1.4.1.3.00.00.0.0.006</t>
  </si>
  <si>
    <t>Instituto Tecnológico de Costa Rica</t>
  </si>
  <si>
    <t>Subtotal Tranf corr. De inst. descon no empre</t>
  </si>
  <si>
    <t>Total egresos Tranf corr. De inst. descon no empre</t>
  </si>
  <si>
    <t>1.4.1.4.00.00.0.0.000</t>
  </si>
  <si>
    <t>TRANSFERENCIAS CORR. GOBIERNOS LOCALES</t>
  </si>
  <si>
    <t>1.4.1.4.02.00.0.0.000</t>
  </si>
  <si>
    <t>MUNICIPALIDAD DE SIQUIRRES</t>
  </si>
  <si>
    <t>Subtotal Tranf corr. Gobiernos Locales</t>
  </si>
  <si>
    <t>Total egresos Tranf corr. Gobiernos Locales</t>
  </si>
  <si>
    <t>1.4.1.5.00.00.0.0.000</t>
  </si>
  <si>
    <t>TRANSF. CORRIENTES DE EMPRESAS PUBLIC. NO FINANC</t>
  </si>
  <si>
    <t>1.4.1.5.00.00.0.0.001</t>
  </si>
  <si>
    <t>Aporte Ley Nacional de Emergencias No. 8488</t>
  </si>
  <si>
    <t>Subtotal Tranf corr. De empresas publicas  no financ</t>
  </si>
  <si>
    <t>Total egresos Tranf corr. De empresas publicas  no financ</t>
  </si>
  <si>
    <t>1.4.1.6.00.00.0.0.000</t>
  </si>
  <si>
    <t>TRANSF. CORRIENTES DE EMPRESAS PUBLICAS FINANC</t>
  </si>
  <si>
    <t>1.4.1.6.01.00.0.0.000</t>
  </si>
  <si>
    <t>BANCO NACIONAL</t>
  </si>
  <si>
    <t>Subtotal Tranf corr. De empresas publicas financ</t>
  </si>
  <si>
    <t>Total egresos Tranf corr. De empresas publicas financ</t>
  </si>
  <si>
    <t>1.4.2.0.00.00.0.0.000</t>
  </si>
  <si>
    <t>TRANSF. CORRIENTES SECTOR PRIVADO</t>
  </si>
  <si>
    <t>0.00.00</t>
  </si>
  <si>
    <t>REMUNERACIONES</t>
  </si>
  <si>
    <t>1.4.2.6.00.00.0.0.000</t>
  </si>
  <si>
    <t>FUNDAUNA</t>
  </si>
  <si>
    <t>Subtotal sector privado</t>
  </si>
  <si>
    <t>Total egresos sector privado</t>
  </si>
  <si>
    <t xml:space="preserve">1.4.3.0.00.00.0.0.000 </t>
  </si>
  <si>
    <t>TRANSFER. CORRIENTES DEL SECTOR EXTERNO</t>
  </si>
  <si>
    <t>1.4.3.1.00.00.0.0.000</t>
  </si>
  <si>
    <t>Transfer. Corrientes Organ. Internac.</t>
  </si>
  <si>
    <t xml:space="preserve">1.4.3.9.00.00.0.0.000 </t>
  </si>
  <si>
    <t>Otras Transfer. Corr. del Sec. Externo</t>
  </si>
  <si>
    <t>Subtotal Tranf corr. Sector externo</t>
  </si>
  <si>
    <t>Total egresos Tranf corr. Sector externo</t>
  </si>
  <si>
    <t>2.0.0.0.00.00.0.0.000</t>
  </si>
  <si>
    <t>INGRESOS DE CAPITAL</t>
  </si>
  <si>
    <t>2.4.0.0.00.00.0.0.000</t>
  </si>
  <si>
    <t>Transferencia de capital</t>
  </si>
  <si>
    <t>2.4.1.0.00.00.0.0.000</t>
  </si>
  <si>
    <t>Transferencias de capital del Sector Público</t>
  </si>
  <si>
    <t>2.4.1.1.00.00.0.0.000</t>
  </si>
  <si>
    <t>Transferencias de capital del Gobierno Central</t>
  </si>
  <si>
    <t>2.4.1.3.00.00.0.0.000</t>
  </si>
  <si>
    <t>Transferencias de capital de instituciones desc no emp</t>
  </si>
  <si>
    <t>SubtotalTranf  de capital</t>
  </si>
  <si>
    <t>Total egresos Tranf  de capital</t>
  </si>
  <si>
    <t>3.0.0.0.00.00.0.0.000</t>
  </si>
  <si>
    <t>FINANCIAMIENTO</t>
  </si>
  <si>
    <t>3.3.0.0.00.00.0.0.000</t>
  </si>
  <si>
    <t>RECURSOS VIGENTES ANTERIORES</t>
  </si>
  <si>
    <t>4.00.00</t>
  </si>
  <si>
    <t>ACTIVOS FINANCIEROS</t>
  </si>
  <si>
    <t>3.3.1.0.00.00.0.0.000</t>
  </si>
  <si>
    <t>SUPERAVIT LIBRE</t>
  </si>
  <si>
    <t>3.3.2.0.00.00.0.0.000</t>
  </si>
  <si>
    <t>SUPERAVIT ESPECIFICO</t>
  </si>
  <si>
    <t>Subtotal Recur Vig Ant</t>
  </si>
  <si>
    <t>Total de egresos de Recur Vig Ant</t>
  </si>
  <si>
    <t>TOTAL  DEL ORIGEN</t>
  </si>
  <si>
    <t>TOTALES DE LA APLICACIÓN</t>
  </si>
  <si>
    <t>(cifras en miles colones)</t>
  </si>
  <si>
    <t>PROGRAMA DE GESTIÓN FINANCIERA</t>
  </si>
  <si>
    <t>II PRESUPUESTO EXTRAORDINARIO 2025</t>
  </si>
  <si>
    <t xml:space="preserve"> ORIGEN Y APLICACIÓN CLASIFICACIÓN ECONOMICA</t>
  </si>
  <si>
    <t>(Cifras en miles de  colones)</t>
  </si>
  <si>
    <t xml:space="preserve">ORIGEN </t>
  </si>
  <si>
    <t xml:space="preserve">        DESCRIPCIÓN</t>
  </si>
  <si>
    <t>INTEGRADO</t>
  </si>
  <si>
    <t>ACADEMICO</t>
  </si>
  <si>
    <t>VIDA UNIVERSITARIA</t>
  </si>
  <si>
    <t>ADMINISTRATIVO</t>
  </si>
  <si>
    <t>1. GASTOS CORRIENTES</t>
  </si>
  <si>
    <t xml:space="preserve"> 1.1 Gasto de Consumo</t>
  </si>
  <si>
    <t xml:space="preserve"> 1.1.2 Adquisión de bienes y servicios</t>
  </si>
  <si>
    <t xml:space="preserve"> 1.3 Transferencias corrientes</t>
  </si>
  <si>
    <t xml:space="preserve">  1.3.2 Al sector privado</t>
  </si>
  <si>
    <t>2. GASTO DE CAPITAL</t>
  </si>
  <si>
    <t xml:space="preserve"> 2.2 Adquisición de activos</t>
  </si>
  <si>
    <t xml:space="preserve">  2.2.1 Maquinaria y equipo</t>
  </si>
  <si>
    <t>3. TRANSFERENCIAS FINANCIERAS</t>
  </si>
  <si>
    <t xml:space="preserve"> 3.2 Adquisición  de valores</t>
  </si>
  <si>
    <t>TOTAL DE LA APLICACIÓN</t>
  </si>
  <si>
    <t>Clasificación económica</t>
  </si>
  <si>
    <t>PRESUPUESTO EXTRAORDINARIO No. 2-2025</t>
  </si>
  <si>
    <t>INGRESOS</t>
  </si>
  <si>
    <t>(Cifras en miles de colones)</t>
  </si>
  <si>
    <t>Descripción</t>
  </si>
  <si>
    <t>Monto</t>
  </si>
  <si>
    <t>TRANSFERENCIAS DE CAPITAL INSTIT DESCENTRA NO EMPRESARIALES</t>
  </si>
  <si>
    <t>TRANSFERENCIAS CORR. ORGANISMOS INTERNACIONALES</t>
  </si>
  <si>
    <t>Total ingresos</t>
  </si>
  <si>
    <t>EGRESOS</t>
  </si>
  <si>
    <t>MATERIALES Y SUMINISTROS</t>
  </si>
  <si>
    <t>ACTIVOS FINACIEROS</t>
  </si>
  <si>
    <t xml:space="preserve">TRANSFERENCIAS CORRIENTES </t>
  </si>
  <si>
    <t>CUENTAS ESPECIALES</t>
  </si>
  <si>
    <t>Total de egresos</t>
  </si>
  <si>
    <t>superávit libre aprobado presupuesto inicial</t>
  </si>
  <si>
    <t>superávit libre real liquidación</t>
  </si>
  <si>
    <t>Diferencia</t>
  </si>
  <si>
    <t>Conciliación superávit libre aprobada y superávit real 2025</t>
  </si>
  <si>
    <t xml:space="preserve">Universidad Nacional  </t>
  </si>
  <si>
    <t>(cifras en miles de colones)</t>
  </si>
  <si>
    <t>superávit específico aprobado presupuesto micial (formulado)</t>
  </si>
  <si>
    <t>superávit especifico real liquidación</t>
  </si>
  <si>
    <t>Conciliación superávit especifico aprobado y superávit real 2024</t>
  </si>
  <si>
    <t>Ley de emergencia</t>
  </si>
  <si>
    <t>Ley de pesca</t>
  </si>
  <si>
    <t>Convenios de cooperación externa</t>
  </si>
  <si>
    <t>Total superávit específico</t>
  </si>
  <si>
    <t>I PRESUPUESTO EXTRAORDINARIO</t>
  </si>
  <si>
    <t xml:space="preserve">Detalle del Superávit específico 2023 por fuente de ingreso  </t>
  </si>
  <si>
    <t>CONTROL DE REGLA FISCAL - CLASIFICACIÓN ECONÓMICA 2025</t>
  </si>
  <si>
    <t>I PRESUPUESTO EXTRAORDINARIO 2024</t>
  </si>
  <si>
    <t>(Cifras en millones de colones)</t>
  </si>
  <si>
    <t>Cuenta</t>
  </si>
  <si>
    <t>Descripción Cuenta</t>
  </si>
  <si>
    <t>Presupuesto Inicial 2024</t>
  </si>
  <si>
    <t>Tope regla fiscal 3,75% 2025</t>
  </si>
  <si>
    <t>Presupuesto Inicial 2025</t>
  </si>
  <si>
    <t>Ajuste por modificaciones internas enero</t>
  </si>
  <si>
    <t>Ajuste por modificaciones internas febrero</t>
  </si>
  <si>
    <t>Ajuste por modificaciones internas marzo</t>
  </si>
  <si>
    <t>Ajuste por modificaciones internas abril</t>
  </si>
  <si>
    <t>I presupuesto extraordinario</t>
  </si>
  <si>
    <t>Total presupuesto ajustado</t>
  </si>
  <si>
    <t>% de variación</t>
  </si>
  <si>
    <t>Diferencia disponible regla fiscal</t>
  </si>
  <si>
    <t>1.0.0.0</t>
  </si>
  <si>
    <t>GASTOS CORRIENTES</t>
  </si>
  <si>
    <t>1.1.0.0</t>
  </si>
  <si>
    <t>GASTOS DE CONSUMO</t>
  </si>
  <si>
    <t>1.1.1.0</t>
  </si>
  <si>
    <t>1.1.1.1</t>
  </si>
  <si>
    <t>Sueldos y Salarios</t>
  </si>
  <si>
    <t>1.1.1.2</t>
  </si>
  <si>
    <t>Contribuciones Sociales</t>
  </si>
  <si>
    <t>1.1.2.0</t>
  </si>
  <si>
    <t>ADQUISICIÓN DE BIENES Y SERVICIOS</t>
  </si>
  <si>
    <t xml:space="preserve">1.2.0.0 </t>
  </si>
  <si>
    <t>Intereses</t>
  </si>
  <si>
    <t xml:space="preserve">1.2.1.1 </t>
  </si>
  <si>
    <t>Internos</t>
  </si>
  <si>
    <t>1.3.0.0</t>
  </si>
  <si>
    <t>1.3.1.0</t>
  </si>
  <si>
    <t>Transferencias Corrientes al Sector Público</t>
  </si>
  <si>
    <t>1.3.2.0</t>
  </si>
  <si>
    <t>Transferencias Corrientes al Sector Privado</t>
  </si>
  <si>
    <t>1.3.3.0</t>
  </si>
  <si>
    <t>Transferencias Corrientes al Sector Externo</t>
  </si>
  <si>
    <t>2.0.0.0</t>
  </si>
  <si>
    <t>GASTOS DE CAPITAL</t>
  </si>
  <si>
    <t>2.1.0.0</t>
  </si>
  <si>
    <t>FORMACION DE CAPITAL</t>
  </si>
  <si>
    <t>2.1.1.0</t>
  </si>
  <si>
    <t>Edificaciones</t>
  </si>
  <si>
    <t>2.1.2.0</t>
  </si>
  <si>
    <t>Vías de Comunicación</t>
  </si>
  <si>
    <t>2.1.4.0</t>
  </si>
  <si>
    <t>Instalaciones</t>
  </si>
  <si>
    <t>2.1.5.0</t>
  </si>
  <si>
    <t>Otras Obras</t>
  </si>
  <si>
    <t>2.2.0.0</t>
  </si>
  <si>
    <t>ADQUISICION DE ACTIVOS</t>
  </si>
  <si>
    <t>2.2.1.0</t>
  </si>
  <si>
    <t>Maquinaria y Equipo</t>
  </si>
  <si>
    <t>2.2.2.0</t>
  </si>
  <si>
    <t>Terreno</t>
  </si>
  <si>
    <t>2.2.3.0</t>
  </si>
  <si>
    <t>Edificios</t>
  </si>
  <si>
    <t>2.2.4.0</t>
  </si>
  <si>
    <t>Intangibles</t>
  </si>
  <si>
    <t>2.2.5.0</t>
  </si>
  <si>
    <t>Activos de Valor</t>
  </si>
  <si>
    <t>Regla fiscal</t>
  </si>
  <si>
    <t>3.0.0.0</t>
  </si>
  <si>
    <t>Transacciones Financieras</t>
  </si>
  <si>
    <t>3.2.0.0</t>
  </si>
  <si>
    <t>Adquisión de valores</t>
  </si>
  <si>
    <t>4.0.0.0</t>
  </si>
  <si>
    <t>SUMAS SIN ASIGNACIÓN</t>
  </si>
  <si>
    <t>4.1.0.0</t>
  </si>
  <si>
    <t>Sumas sin asignación</t>
  </si>
  <si>
    <t>4.1.1.0</t>
  </si>
  <si>
    <t xml:space="preserve">Excepciones a la regla fiscal </t>
  </si>
  <si>
    <t>BECAS</t>
  </si>
  <si>
    <t>DONACIONES</t>
  </si>
  <si>
    <t>VINCULO EXTERNO</t>
  </si>
  <si>
    <t>SUPERAVIT</t>
  </si>
  <si>
    <t>TOTAL DEL PRESUPUESTO</t>
  </si>
  <si>
    <t>Elaborado por: Ronny Hernández Álvarez, Jefe Sección de Presupuesto</t>
  </si>
  <si>
    <t>Nota: Tope máximo de regla fiscal 3,75% para el 2025.</t>
  </si>
  <si>
    <t>Excepciones d la regla fiscal</t>
  </si>
  <si>
    <t>3.0.0</t>
  </si>
  <si>
    <t>Ajuste mod int enero</t>
  </si>
  <si>
    <t>Ajuste mod int febrero</t>
  </si>
  <si>
    <t>Ajuste mod int marzo</t>
  </si>
  <si>
    <t>Ajuste mod int abril</t>
  </si>
  <si>
    <t>II presupuesto extraordinario</t>
  </si>
  <si>
    <t>Excepciones a la regla fiscal</t>
  </si>
  <si>
    <t>Becas</t>
  </si>
  <si>
    <t>Donaciones</t>
  </si>
  <si>
    <t>Vinculo Externo</t>
  </si>
  <si>
    <t>Superávit</t>
  </si>
  <si>
    <t>Gráfico 1</t>
  </si>
  <si>
    <t>Tasa de crecimiento del PIB para los períodos 2019-2026</t>
  </si>
  <si>
    <t>Gráfico 2</t>
  </si>
  <si>
    <t>Comportamiento deuda PIB para los años 2022-2026</t>
  </si>
  <si>
    <t>Gráfico 3</t>
  </si>
  <si>
    <t>Estimación regla fiscal 2024-2028 en porcentajes</t>
  </si>
  <si>
    <t>INFORMACIÓN PLURIANUAL 2025-2028</t>
  </si>
  <si>
    <t>Instrucciones:</t>
  </si>
  <si>
    <t>1. Complete la plantilla proporcionada y adjúntela en formato de hoja de cálculo en el Sistema de Información sobre Planes y Presupuestos (SIPP).
2. Deje en blanco las celdas correspondientes a montos para cuentas de ingresos y gastos en las que no se incluya presupuesto. Lo mismo aplica para las celdas de la sección "Extracto de la información plurianual de la institución" que no requieran ser completadas.</t>
  </si>
  <si>
    <t xml:space="preserve">Recordatorio: </t>
  </si>
  <si>
    <t>1. En caso de improbación o archivo sin trámite con efecto de improbación del presupuesto inicial, este documento deberá ajustarse, ser conocido por el Jerarca y presentarse adjunto al primer presupuesto extraordinario que se someta a aprobación de la CGR.
2. La información plurianual deberá presentarse actualizada en los presupuesto extraordinarios que afecten la proyección plurianual que se someta a aprobación de la CGR, la cual debe contar con el acuerdo de conocimiento del Jerarca.
3. Para la elaboración y análisis de esta información, puede considerar la Guía orientadora de apoyo disponible en la página electrónica de la CGR.
4. La información plurianual que se suministra corresponde a la información requerida por la Contraloría General para comprender la presupuestación plurianual que tiene la institución</t>
  </si>
  <si>
    <t>Nombre de la Institución:</t>
  </si>
  <si>
    <t>UNIVERSIDAD NACIONAL (UNA)</t>
  </si>
  <si>
    <t>MONTOS DE INGRESOS EN MILLONES DE COLONES</t>
  </si>
  <si>
    <t>Nombre de la partida</t>
  </si>
  <si>
    <t xml:space="preserve">1. INGRESOS CORRIENTES </t>
  </si>
  <si>
    <t>1.1.1.0.00.00.0.0.000 IMPUESTOS A LOS INGRESOS Y UTILIDADES</t>
  </si>
  <si>
    <t>1.1.2.0.00.00.0.0.000 IMPUESTOS SOBRE LA PROPIEDAD</t>
  </si>
  <si>
    <t>1.1.3.0.00.00.0.0.000 IMPUESTOS SOBRE BIENES Y SERVICIOS</t>
  </si>
  <si>
    <t>1.1.4.0.00.00.0.0.000 IMPUESTOS SOBRE COMERCIO EXTERIOR Y TRANSACCIONES INTERNACIONALES</t>
  </si>
  <si>
    <t>1.1.9.0.00.00.0.0.000 OTROS INGRESOS TRIBUTARIOS</t>
  </si>
  <si>
    <t>1.2.1.0.00.00.0.0.000 CONTRIBUCIONES A LA SEGURIDAD SOCIAL</t>
  </si>
  <si>
    <t>1.3.1.0.00.00.0.0.000 VENTA DE BIENES Y SERVICIOS</t>
  </si>
  <si>
    <t>1.3.2.0.00.00.0.0.000 INGRESOS DE LA PROPIEDAD</t>
  </si>
  <si>
    <t>1.3.3.0.00.00.0.0.000 MULTAS, SANCIONES, REMATES Y COMISOS</t>
  </si>
  <si>
    <t>1.3.4.0.00.00.0.0.000 INTERESES MORATORIOS</t>
  </si>
  <si>
    <t>1.3.9.0.00.00.0.0.000 OTROS INGRESOS NO TRIBUTARIOS</t>
  </si>
  <si>
    <t>1.4.1.0.00.00.0.0.000 TRANSFERENCIAS CORRIENTES DEL SECTOR PÚBLICO</t>
  </si>
  <si>
    <t>1.4.2.0.00.00.0.0.000 TRANSFERENCIAS CORRIENTES DEL SECTOR PRIVADO</t>
  </si>
  <si>
    <t>1.4.3.0.00.00.0.0.000 TRANSFERENCIAS CORRIENTES DEL SECTOR EXTERNO</t>
  </si>
  <si>
    <t>2. INGRESOS DE CAPITAL</t>
  </si>
  <si>
    <t>2.1.1.0.00.00.0.0.000 VENTA DE ACTIVOS FIJOS</t>
  </si>
  <si>
    <t>2.1.2.0.00.00.0.0.000 VENTA DE ACTIVOS INTANGIBLES</t>
  </si>
  <si>
    <t>2.2.1.0.00.00.0.0.000 Vías de comunicación</t>
  </si>
  <si>
    <t>2.2.2.0.00.00.0.0.000 Instalaciones</t>
  </si>
  <si>
    <t>2.2.9.0.00.00.0.0.000 Otras obras de utilidad pública</t>
  </si>
  <si>
    <t>2.3.1.0.00.00.0.0.000 RECUPERACIÓN DE PRÉSTAMOS AL SECTOR PÚBLICO</t>
  </si>
  <si>
    <t>2.3.2.0.00.00.0.0.000 RECUPERACIÓN DE PRÉSTAMOS AL SECTOR PRIVADO</t>
  </si>
  <si>
    <t>2.3.3.0.00.00.0.0.000 RECUPERACIÓN DE PRÉSTAMOS AL SECTOR EXTERNO</t>
  </si>
  <si>
    <t>2.3.4.0.00.00.0.0.000 RECUPERACIÓN DE INVERSIONES FINANCIERAS</t>
  </si>
  <si>
    <t>2.4.1.0.00.00.0.0.000 TRANSFERENCIAS DE CAPITAL DEL SECTOR PÚBLICO</t>
  </si>
  <si>
    <t>2.4.2.0.00.00.0.0.000 TRANSFERENCIAS DE CAPITAL DEL SECTOR PRIVADO</t>
  </si>
  <si>
    <t>2.4.3.0.00.00.0.0.000 TRANSFERENCIAS DE CAPITAL DEL SECTOR EXTERNO</t>
  </si>
  <si>
    <t>2.5.0.0.00.00.0.0.000 OTROS INGRESOS DE CAPITAL</t>
  </si>
  <si>
    <t>3. FINANCIAMIENTO</t>
  </si>
  <si>
    <t>3.1.1.0.00.00.0.0.000 PRÉSTAMOS DIRECTOS</t>
  </si>
  <si>
    <t>3.1.2.0.00.00.0.0.000 CRÉDITO INTERNO DE PROVEEDORES</t>
  </si>
  <si>
    <t>3.1.3.0.00.00.0.0.000 COLOCACIÓN DE TÍTULOS VALORES</t>
  </si>
  <si>
    <t>3.2.1.0.00.00.0.0.000 PRÉSTAMOS DIRECTOS</t>
  </si>
  <si>
    <t>3.2.2.0.00.00.0.0.000 CRÉDITO EXTERNO DE PROVEEDORES</t>
  </si>
  <si>
    <t>3.2.3.0.00.00.0.0.000 COLOCACIÓN DE TÍTULOS VALORES EN EL EXTERIOR</t>
  </si>
  <si>
    <t>3.3.1.0.00.00.0.0.000 Superávit libre</t>
  </si>
  <si>
    <t>3.3.2.0.00.00.0.0.000 Superávit específico</t>
  </si>
  <si>
    <t>3.4.1.0.00.00.0.0.000 Recursos de emisión monetaria</t>
  </si>
  <si>
    <t>TOTAL DE INGRESOS</t>
  </si>
  <si>
    <t>MONTOS DE GASTOS EN MILLONES DE COLONES</t>
  </si>
  <si>
    <t>1. GASTO CORRIENTE</t>
  </si>
  <si>
    <t>1.1.1 REMUNERACIONES</t>
  </si>
  <si>
    <t>1.1.2 ADQUISICIÓN DE BIENES Y SERVICIOS</t>
  </si>
  <si>
    <t>1.2.1 Intereses Internos</t>
  </si>
  <si>
    <t>1.2.2 Intereses Externos</t>
  </si>
  <si>
    <t>1.3.1 Transferencias corrientes al Sector Público</t>
  </si>
  <si>
    <t>1.3.2 Transferencias corrientes al Sector Privado</t>
  </si>
  <si>
    <t>1.3.3 Transferencias corrientes al Sector Externo</t>
  </si>
  <si>
    <t>2.1.1 Edificaciones</t>
  </si>
  <si>
    <t>2.1.2 Vías de comunicación</t>
  </si>
  <si>
    <t>2.1.3 Obras urbanísticas</t>
  </si>
  <si>
    <t>2.1.4 Instalaciones</t>
  </si>
  <si>
    <t>2.1.5 Otras obras</t>
  </si>
  <si>
    <t>2.2.1 Maquinaria y equipo</t>
  </si>
  <si>
    <t>2.2.2 Terrenos</t>
  </si>
  <si>
    <t>2.2.3 Edificios</t>
  </si>
  <si>
    <t>2.2.4 Intangibles</t>
  </si>
  <si>
    <t>2.2.5 Activos de valor</t>
  </si>
  <si>
    <t>2.3.1 Transferencias de capital al Sector Público</t>
  </si>
  <si>
    <t>2.3.2 Transferencias de capital al Sector Privado</t>
  </si>
  <si>
    <t>2.3.3 Transferencias de capital al Sector Externo</t>
  </si>
  <si>
    <t xml:space="preserve">3. TRANSACCIONES FINANCIERAS </t>
  </si>
  <si>
    <t>3.1 CONCESIÓN DE PRESTAMOS</t>
  </si>
  <si>
    <t>3.2 ADQUISICIÓN DE VALORES</t>
  </si>
  <si>
    <t>3.3.1 Amortización interna</t>
  </si>
  <si>
    <t>3.3.2 Amortización externa</t>
  </si>
  <si>
    <t>3.4 OTROS ACTIVOS FINANCIEROS</t>
  </si>
  <si>
    <t>4. SUMAS SIN ASIGNACIÓN PRESUPUESTARIA</t>
  </si>
  <si>
    <t>EXTRACTO DE LA INFORMACIÓN PLURIANUAL DE LA INSTITUCIÓN</t>
  </si>
  <si>
    <t>Referencia del Acuerdo en el que el Jerarca conoció la información plurianual</t>
  </si>
  <si>
    <t>UNA-R-OFIC-2215-2024</t>
  </si>
  <si>
    <t>Información de Planificación Institucional de mediano plazo</t>
  </si>
  <si>
    <t>Nombre de los documentos de planificación  al cual está vinculada la información plurianual</t>
  </si>
  <si>
    <t>Plan de Mediano Plazo Institucional 2023 - 2027</t>
  </si>
  <si>
    <t>Periodo de vigencia del documento de planificación al cual está vinculada la información plurianual</t>
  </si>
  <si>
    <t>2023 - 2027</t>
  </si>
  <si>
    <t>Indicar cada uno de los objetivos de los planes de mediano plazo al cual está vinculada la información plurianual</t>
  </si>
  <si>
    <t>1.1 Sistema de Gestión de Calidad para la Excelencia, 1.2 Manejo Financiero Responsable, Transparente, Eficiente y Sostenible, 1.3 Espacios físicos, infraestructura y equipamiento, 1.4 Normativa actualizada y ágil, 1.5 Transformación digital, 2.1 Acción sustantiva con abordajes multi, inter y transdisciplinarios (MIT), 2.2 Acción sustantiva para el desarrollo humano sostenible, 2.3 Innovación a las carreras de grado y posgrado, 2.4 Internacionalización, 2.5 Vida universitaria y formación humanista, 2.6 Estrategias curriculares y cocurriculares para la formación universitaria, 3.1 Consolidación del desarrollo regional de sedes y sección regional, 3.2 Comunicación con proyección y reconocimiento social, 3.3 Creación de conocimiento y vínculo externo, 3.4 Incidencia de la acciónn sustantiva en la política pública y otras formas de toma de decisiones.</t>
  </si>
  <si>
    <t>Análisis de las proyecciones de ingresos y gastos</t>
  </si>
  <si>
    <t>Analizar el 80% de los ingresos más significativos en términos cuantitativos dentro del presupuesto
-El análisis de los ingresos nuevos y de financiamiento se deben registrar en los siguientes apartados-</t>
  </si>
  <si>
    <t xml:space="preserve">Supuestos Técnicos utilizados para las proyecciones de ingresos </t>
  </si>
  <si>
    <t>Acciones para mitigar riesgos de disponibilidad del ingreso</t>
  </si>
  <si>
    <t>Observaciones adicionales  en caso de ser necesario</t>
  </si>
  <si>
    <t>Transferencias corrientes del sector público</t>
  </si>
  <si>
    <t>Contempla los ingresos correspondientes a la Ley 5909 FEES y Ley 9635. Para el FEES,  (en oficio UNA-VADM-OFIC-2774-2024 se comunica el incremento del 2% aprobado por la Asamblea Legislativa e el trámite del Presupuesto Ordinario de la República, lo que representa un aumento de 2.053.131.479,00 colones para el año 2025)</t>
  </si>
  <si>
    <t>La negociación FEES que se realicen de forma quinquenal, de forma tal que permita mitigar la incertidumbre que se genera con las negociaciones anuales.</t>
  </si>
  <si>
    <t>En cuanto a los recursos de Fondos del Sistema (6,39% del FEES) en 2025 presenta una disminución, debido a la asignación del dinero al curso de bachillerato de educación cabécar, pero  los siguientes años de la serie se le aplica un incremento del 1%, en observación de los años anteriores negociados, asimismo. •	En fondos FEES se mantienen los ¢15 000 000 miles capitalizables a toda la serie de ingresos plurianual, de los cuales a la Universidad le corresponden ¢2.474.723,4 miles.</t>
  </si>
  <si>
    <t>Venta de Servicios</t>
  </si>
  <si>
    <t>Comprenden la recaudación de los diferentes servicios estudiantiles que ofrece la institución, tales como: cobro de matrícula de cursos regulares, laboratorios, derechos de graduación, inscripción, derechos de examen, entre otros; siendo el cobro de matrícula el más significativo, los cuales se revisan y analizan los últimos tres años liquidados, el comportamiento del año proyectado; se determinan promedios y porcentajes de variación para aplicar según cada concepto</t>
  </si>
  <si>
    <t>Continuar respondiendo a la necesidades de la población, siendo una universidad necesaria, atendiendo los objetivos de mediano plazo que posee la institución, como por ejemplo:  Innovación a las carreras de grado y posgrado, Internacionalización, Transformación digital, entre otros.</t>
  </si>
  <si>
    <t>Recuperación de inversiones financieras</t>
  </si>
  <si>
    <t xml:space="preserve">Según lo indicado en el oficio UNA-ST-OFIC-249-2024, estimando las inversiones realizadas que la Universidad mantiene en su cartera y los intereses sobre las inversiones, se considera el vencimiento que presentan esos recursos para los respectivos cálculos en toda la serie. </t>
  </si>
  <si>
    <t>Regulación de los límites máximos de concentración para los fondos de inversión y títulos valores, sobre los tipos de instrumento, emisor, moneda, plazo, mercado, sector y otras políticas que se consideren pertinentes, para la administración del efectivo e inversiones financieras de la institución.  No se podrán realizar operaciones de reporto o recompra ni como vendedor a plazo, ni como comprador a plazo.</t>
  </si>
  <si>
    <t xml:space="preserve">Analizar el 80% de los gastos más significativos en términos cuantitativos dentro del presupuesto  a nivel de subpartida del Clasificador Económico del Gasto </t>
  </si>
  <si>
    <t>Supuestos Técnicos utilizados para las proyecciones de gastos</t>
  </si>
  <si>
    <t>Acciones necesarias en el largo plazo para asegurar la sostenibilidad de los gastos</t>
  </si>
  <si>
    <t>Remuneraciones</t>
  </si>
  <si>
    <t>Cumplimiento Título IV de la Ley 9635 Fortalecimiento de las Finanzas públicas  y 10159 Ley Marco empleo público. Estimación de escenarios de endeudamiento del PIB deacuerdo con los informes de política monetaria BCCR. Aplicación de los porcentajes correspondientes de seguridad social, considerando el incremento en el IVM 5,58% apartir del año 2026. Escalas salariales vigentes en la Universidad y sus posibles variaciones de acuerdo con las leyes antes indicadas. Cantidad de tiempos completos existentes en la relación laboral UNA.</t>
  </si>
  <si>
    <t xml:space="preserve">No reajuste de las bases salariales para 2025 (por aplicación de la Regla Fiscal del Título IV de la Ley N°9635). 
No aumento en el monto de dietas otorgadas a integrantes de comisiones ni en el valor del punto de carrera administrativa (por aplicación de la Regla Fiscal del Título IV de la Ley N°9635). 
Reconocimiento de nuevas anualidades de forma nominal, según lo establecido en la Ley N°9635 sobre Fortalecimiento de las Finanzas Públicas y Ley N°10159 Marco de Empleo Público, de acuerdo con el resultado de la evaluación del desempeño. 
Aplicación de la escala de salario global en las contrataciones de personal de nuevo ingreso y demás casos establecidos en la Ley N°10159 Marco de Empleo Público y normativa interna. 
Restricción para el pago por tiempo extraordinario, sobresueldos y disponibilidad. 
Restricción para la creación de plazas nuevas (académicas y administrativas). 
Revisión estricta de nuevas asignaciones por reposición de plazas en caso de jubilación, defunción, despido o renuncia. 
Restricción para autorizar solicitudes de sustitución de personal por vacaciones. 
Revisión y ajuste en la metodología de asignación de carga académica. 
Suspensión de la recepción de solicitudes de estudios para cargos administrativos. 
Priorización de las jornadas académicas para atender cursos de pregrado y grado. 
Incentivos laborales otorgados en el marco de lo dispuesto en la Ley N°9635 y Ley N°10159. </t>
  </si>
  <si>
    <t>Adquisición de Bienes y Servicios</t>
  </si>
  <si>
    <t>Para el cálculo de las partidas de servicios públicos se establece un crecimiento promedio del 10% por año, de acuerdo con el comportamiento de la economía en este tipo de gastos y las proyecciones de aumento que solicitan las empresas que brindan el servicio. Para las partidas relacionadas a seguros, se considera un aumento del 10% a partir del año 2025, para los años del 2026 al 2028, según el comportamiento histórico de aumento en pólizas. Para las partidas del gasto operativo, se estima un incremento del 3%, porcentaje establecido por el Banco Central como proyección del índice de precios al consumidor. Velar por el uso racional de los servicios de electricidad, aires acondicionados, computadoras, impresoras, luces, agua, teléfono, para generar ahorro institucional.</t>
  </si>
  <si>
    <t xml:space="preserve">Restricción para el uso de recursos correspondientes a las partidas de actividades protocolarias y sociales, y de alimentos y bebidas.  Monitoreo mediante GPS de toda la flotilla vehicular de la UNA, de manera que se pueda generar información que permita: mejorar la planificación de las giras y trayectos de estas, ser más efectivos con el mantenimiento de los vehículos, optimizar el uso y disposición de vehículos en toda la institución, establecer criterios para la adquisición de vehículos, reducir el consumo de combustibles y viáticos, entre otros. </t>
  </si>
  <si>
    <t>Transferencias al sector privado</t>
  </si>
  <si>
    <t>Aporte Patronal al Fondo de Beneficio Social de los Trabajadores de la Universidad Nacional, equivalente al 2,5% sobre el total de salarios presupuestados por la Universidad. Becas a estudiantes (terceras personas), se estima con el promedio histórico observado de los últimos tres años liquidados. Se incluye Aporte Patronal al Sindicato de Trabajadores de la Universidad Nacional – SITUN. La facturación y captación de ingresos de proyectos  realizada por medio de las arcas de la Universidad Nacional, para luego ser trasladados para su manejo y ejecución a las cuentas de los proyectos en la FUNDAUNA. Prestaciones legales se estiman con base en el año 2025 y los montos obervados en los últimos años.</t>
  </si>
  <si>
    <t xml:space="preserve">Con el propósito de contar con los recursos necesarios para la atención de becas a estudiantes y asegurar su sostenibilidad en el tiempo, la Universidad Nacional tiene instituida una comisión interdiciplinaria que realiza un trabajo conjunto la cual atienden y controlan variables relacionados con la definición de las Becas a estudiantes. </t>
  </si>
  <si>
    <t>Obras de accesibilidad en cumplimiento de la Ley 7600, adecuando aceras, rampas, ascensores, baños y demarcaciones. 
Obras complementarias de aulas y edicifcios y sodas. Remodelaciones.    
Salidas de emergencia.
Muros de contención del campus Omar Dengo
Mejoras en los transformadores y acometidas eléctricas.</t>
  </si>
  <si>
    <t xml:space="preserve">Esfuerzo institucional para estimar las necesidades presupuestarias de los proyectos en edificaciones, con el propósito de formular el presupuesto requerido en cada etapa y año en que se espera ejecutar. </t>
  </si>
  <si>
    <t>Se considera el reemplazo de vehículos en mal estado , la adquisición de mobiliario  y persianas de los edicios en remodelación o nuevos edificaciones. El reemplazo programado de equipo de cómputo por obsolescencia.</t>
  </si>
  <si>
    <t xml:space="preserve">Dar de baja vehículos y equipos con antigüedad considerable, que generan altos costos de mantenimiento.
</t>
  </si>
  <si>
    <t>Proyecciones de ingresos nuevos  para la institucón (En caso de no contar con este tipo de ingreso en ninguno de los periodos indicar "No aplica")</t>
  </si>
  <si>
    <t>Supuestos Técnicos utilizados para las proyecciones de ingresos</t>
  </si>
  <si>
    <t xml:space="preserve"> No aplica</t>
  </si>
  <si>
    <t>Análisis de resultados de Financiamiento interno  o externo / Utilización del  Superávit / para la institución (En caso de no contar con este tipo de ingreso en ninguno de los periodos indicar "No aplica")</t>
  </si>
  <si>
    <t xml:space="preserve">Argumentos utilizados  </t>
  </si>
  <si>
    <t>Acciones para mitigar riesgos de dependencia de este tipo de  ingresos extraordinarios</t>
  </si>
  <si>
    <t>Superávit Libre</t>
  </si>
  <si>
    <t>Se estima superávit libre para la atención de los compromisos presupuestarios que posee la Universidad de acuerdo con el promedio de obligaciones contractuales para los últimos dos periodos presupuestarios y la proyección del año 2024.</t>
  </si>
  <si>
    <t>Continuar planificando los flujos de cajas de los presupuestos relacionados con las obras, equipos a fin de ejecutar lo que corresponde a cada año, para mitigar el traslado de compromisos a los siguientes años mediante el superávit.</t>
  </si>
  <si>
    <t>Nombre de cuenta de financiamiento interno, externo o superávit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</si>
</sst>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0.0"/>
    <numFmt numFmtId="165" formatCode="_(* #,##0.00_);_(* \(#,##0.00\);_(* &quot;-&quot;??_);_(@_)"/>
  </numFmts>
  <fonts count="35" x14ac:knownFonts="1">
    <font>
      <sz val="10"/>
      <name val="Arial"/>
      <family val="2"/>
    </font>
    <font>
      <sz val="11"/>
      <color theme="1"/>
      <name val="Aptos Narrow"/>
      <family val="2"/>
      <scheme val="minor"/>
    </font>
    <font>
      <sz val="10"/>
      <name val="Arial"/>
      <family val="2"/>
    </font>
    <font>
      <sz val="10"/>
      <name val="Aptos Narrow"/>
      <family val="2"/>
      <scheme val="minor"/>
    </font>
    <font>
      <b/>
      <sz val="10"/>
      <name val="Aptos Narrow"/>
      <family val="2"/>
      <scheme val="minor"/>
    </font>
    <font>
      <b/>
      <sz val="10"/>
      <color theme="0"/>
      <name val="Aptos Narrow"/>
      <family val="2"/>
      <scheme val="minor"/>
    </font>
    <font>
      <b/>
      <i/>
      <sz val="10"/>
      <name val="Aptos Narrow"/>
      <family val="2"/>
      <scheme val="minor"/>
    </font>
    <font>
      <i/>
      <sz val="10"/>
      <name val="Aptos Narrow"/>
      <family val="2"/>
      <scheme val="minor"/>
    </font>
    <font>
      <sz val="10"/>
      <color theme="1"/>
      <name val="Aptos Narrow"/>
      <family val="2"/>
      <scheme val="minor"/>
    </font>
    <font>
      <sz val="10"/>
      <name val="Courier"/>
      <family val="3"/>
    </font>
    <font>
      <sz val="10"/>
      <color theme="0"/>
      <name val="Aptos Narrow"/>
      <family val="2"/>
      <scheme val="minor"/>
    </font>
    <font>
      <b/>
      <sz val="10"/>
      <name val="Arial"/>
      <family val="2"/>
    </font>
    <font>
      <b/>
      <sz val="9"/>
      <name val="Aptos Narrow"/>
      <family val="2"/>
      <scheme val="minor"/>
    </font>
    <font>
      <sz val="10"/>
      <color theme="0"/>
      <name val="Arial"/>
      <family val="2"/>
    </font>
    <font>
      <b/>
      <sz val="11"/>
      <color theme="1"/>
      <name val="Aptos Narrow"/>
      <family val="2"/>
      <scheme val="minor"/>
    </font>
    <font>
      <sz val="11"/>
      <color theme="0"/>
      <name val="Aptos Narrow"/>
      <family val="2"/>
      <scheme val="minor"/>
    </font>
    <font>
      <sz val="11"/>
      <name val="Calibri"/>
      <family val="2"/>
    </font>
    <font>
      <b/>
      <sz val="10"/>
      <name val="Calibri"/>
      <family val="2"/>
    </font>
    <font>
      <b/>
      <i/>
      <sz val="11"/>
      <color theme="1"/>
      <name val="Aptos Narrow"/>
      <family val="2"/>
      <scheme val="minor"/>
    </font>
    <font>
      <sz val="11"/>
      <name val="Aptos Narrow"/>
      <family val="2"/>
      <scheme val="minor"/>
    </font>
    <font>
      <i/>
      <sz val="11"/>
      <color theme="1"/>
      <name val="Aptos Narrow"/>
      <family val="2"/>
      <scheme val="minor"/>
    </font>
    <font>
      <b/>
      <sz val="16"/>
      <color theme="1"/>
      <name val="Calibri"/>
      <family val="2"/>
    </font>
    <font>
      <sz val="16"/>
      <color rgb="FF000000"/>
      <name val="Calibri"/>
      <family val="2"/>
    </font>
    <font>
      <b/>
      <sz val="12"/>
      <color rgb="FFFFFFFF"/>
      <name val="Calibri"/>
      <family val="2"/>
    </font>
    <font>
      <sz val="12"/>
      <color rgb="FF000000"/>
      <name val="Calibri"/>
      <family val="2"/>
    </font>
    <font>
      <sz val="10"/>
      <color theme="1"/>
      <name val="Calibri"/>
      <family val="2"/>
    </font>
    <font>
      <sz val="10"/>
      <color rgb="FF000000"/>
      <name val="Calibri"/>
      <family val="2"/>
    </font>
    <font>
      <b/>
      <sz val="11"/>
      <color rgb="FFFFFFFF"/>
      <name val="Calibri"/>
      <family val="2"/>
    </font>
    <font>
      <b/>
      <sz val="14"/>
      <color rgb="FFFFFFFF"/>
      <name val="Calibri"/>
      <family val="2"/>
    </font>
    <font>
      <b/>
      <sz val="11"/>
      <color theme="1"/>
      <name val="Calibri"/>
      <family val="2"/>
    </font>
    <font>
      <b/>
      <sz val="10"/>
      <color rgb="FFFFFFFF"/>
      <name val="Calibri"/>
      <family val="2"/>
    </font>
    <font>
      <b/>
      <sz val="10"/>
      <color theme="0"/>
      <name val="Calibri"/>
      <family val="2"/>
    </font>
    <font>
      <sz val="14"/>
      <color rgb="FF000000"/>
      <name val="Calibri"/>
      <family val="2"/>
    </font>
    <font>
      <sz val="14"/>
      <name val="Calibri"/>
      <family val="2"/>
    </font>
    <font>
      <sz val="11"/>
      <color theme="1"/>
      <name val="Calibri"/>
      <family val="2"/>
    </font>
  </fonts>
  <fills count="23">
    <fill>
      <patternFill patternType="none"/>
    </fill>
    <fill>
      <patternFill patternType="gray125"/>
    </fill>
    <fill>
      <patternFill patternType="solid">
        <fgColor theme="5" tint="-0.249977111117893"/>
        <bgColor indexed="64"/>
      </patternFill>
    </fill>
    <fill>
      <patternFill patternType="solid">
        <fgColor theme="5"/>
        <bgColor indexed="64"/>
      </patternFill>
    </fill>
    <fill>
      <patternFill patternType="solid">
        <fgColor theme="0"/>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rgb="FFC00000"/>
        <bgColor indexed="64"/>
      </patternFill>
    </fill>
    <fill>
      <patternFill patternType="solid">
        <fgColor rgb="FF002060"/>
        <bgColor indexed="64"/>
      </patternFill>
    </fill>
    <fill>
      <patternFill patternType="solid">
        <fgColor rgb="FF00B050"/>
        <bgColor indexed="64"/>
      </patternFill>
    </fill>
    <fill>
      <patternFill patternType="solid">
        <fgColor theme="1"/>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3" tint="9.9978637043366805E-2"/>
        <bgColor indexed="64"/>
      </patternFill>
    </fill>
    <fill>
      <patternFill patternType="solid">
        <fgColor theme="5" tint="0.59999389629810485"/>
        <bgColor indexed="64"/>
      </patternFill>
    </fill>
    <fill>
      <patternFill patternType="solid">
        <fgColor theme="3" tint="0.749992370372631"/>
        <bgColor indexed="64"/>
      </patternFill>
    </fill>
    <fill>
      <patternFill patternType="solid">
        <fgColor theme="9" tint="-0.249977111117893"/>
        <bgColor indexed="64"/>
      </patternFill>
    </fill>
    <fill>
      <patternFill patternType="solid">
        <fgColor theme="8" tint="-0.249977111117893"/>
        <bgColor rgb="FFB45F06"/>
      </patternFill>
    </fill>
    <fill>
      <patternFill patternType="solid">
        <fgColor theme="8" tint="-0.249977111117893"/>
        <bgColor indexed="64"/>
      </patternFill>
    </fill>
    <fill>
      <patternFill patternType="solid">
        <fgColor rgb="FFFFFFFF"/>
        <bgColor rgb="FFFFFFFF"/>
      </patternFill>
    </fill>
    <fill>
      <patternFill patternType="solid">
        <fgColor rgb="FF36499B"/>
        <bgColor rgb="FF073763"/>
      </patternFill>
    </fill>
    <fill>
      <patternFill patternType="solid">
        <fgColor rgb="FF36499B"/>
        <bgColor indexed="64"/>
      </patternFill>
    </fill>
    <fill>
      <patternFill patternType="solid">
        <fgColor rgb="FF36499B"/>
        <bgColor rgb="FFFFD966"/>
      </patternFill>
    </fill>
  </fills>
  <borders count="35">
    <border>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bottom style="double">
        <color indexed="64"/>
      </bottom>
      <diagonal/>
    </border>
    <border>
      <left style="medium">
        <color indexed="64"/>
      </left>
      <right/>
      <top style="double">
        <color indexed="64"/>
      </top>
      <bottom/>
      <diagonal/>
    </border>
    <border>
      <left/>
      <right/>
      <top style="double">
        <color indexed="64"/>
      </top>
      <bottom/>
      <diagonal/>
    </border>
    <border>
      <left style="thin">
        <color indexed="64"/>
      </left>
      <right style="thin">
        <color indexed="64"/>
      </right>
      <top style="double">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diagonal/>
    </border>
    <border>
      <left/>
      <right style="thin">
        <color rgb="FF000000"/>
      </right>
      <top/>
      <bottom style="thin">
        <color rgb="FF000000"/>
      </bottom>
      <diagonal/>
    </border>
    <border>
      <left/>
      <right style="thin">
        <color rgb="FF000000"/>
      </right>
      <top/>
      <bottom/>
      <diagonal/>
    </border>
    <border>
      <left/>
      <right/>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ck">
        <color rgb="FF000000"/>
      </left>
      <right/>
      <top/>
      <bottom style="thin">
        <color rgb="FF000000"/>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ck">
        <color rgb="FF000000"/>
      </left>
      <right style="thin">
        <color rgb="FF000000"/>
      </right>
      <top/>
      <bottom style="thin">
        <color rgb="FF000000"/>
      </bottom>
      <diagonal/>
    </border>
    <border>
      <left style="thin">
        <color indexed="64"/>
      </left>
      <right style="thin">
        <color indexed="64"/>
      </right>
      <top style="thin">
        <color indexed="64"/>
      </top>
      <bottom/>
      <diagonal/>
    </border>
  </borders>
  <cellStyleXfs count="7">
    <xf numFmtId="0" fontId="0" fillId="0" borderId="0"/>
    <xf numFmtId="39" fontId="9" fillId="0" borderId="0"/>
    <xf numFmtId="0" fontId="2" fillId="0" borderId="0"/>
    <xf numFmtId="165" fontId="2" fillId="0" borderId="0" applyFont="0" applyFill="0" applyBorder="0" applyAlignment="0" applyProtection="0"/>
    <xf numFmtId="0" fontId="1" fillId="0" borderId="0"/>
    <xf numFmtId="9" fontId="2" fillId="0" borderId="0" applyFont="0" applyFill="0" applyBorder="0" applyAlignment="0" applyProtection="0"/>
    <xf numFmtId="43" fontId="2" fillId="0" borderId="0" applyFont="0" applyFill="0" applyBorder="0" applyAlignment="0" applyProtection="0"/>
  </cellStyleXfs>
  <cellXfs count="253">
    <xf numFmtId="0" fontId="0" fillId="0" borderId="0" xfId="0"/>
    <xf numFmtId="0" fontId="3" fillId="0" borderId="0" xfId="0" applyFont="1"/>
    <xf numFmtId="4" fontId="3" fillId="0" borderId="0" xfId="0" applyNumberFormat="1" applyFont="1"/>
    <xf numFmtId="164" fontId="3" fillId="0" borderId="0" xfId="0" applyNumberFormat="1" applyFont="1"/>
    <xf numFmtId="164" fontId="4" fillId="0" borderId="0" xfId="0" applyNumberFormat="1" applyFont="1"/>
    <xf numFmtId="4" fontId="4" fillId="0" borderId="0" xfId="0" applyNumberFormat="1" applyFont="1"/>
    <xf numFmtId="0" fontId="4" fillId="0" borderId="0" xfId="0" applyFont="1" applyAlignment="1">
      <alignment horizontal="center"/>
    </xf>
    <xf numFmtId="4" fontId="4" fillId="0" borderId="0" xfId="0" applyNumberFormat="1" applyFont="1" applyAlignment="1">
      <alignment horizontal="center"/>
    </xf>
    <xf numFmtId="4" fontId="5" fillId="2" borderId="2" xfId="0" applyNumberFormat="1" applyFont="1" applyFill="1" applyBorder="1" applyAlignment="1">
      <alignment horizontal="center" vertical="center" wrapText="1"/>
    </xf>
    <xf numFmtId="0" fontId="5" fillId="2" borderId="2" xfId="0" applyFont="1" applyFill="1" applyBorder="1" applyAlignment="1">
      <alignment horizontal="center" vertical="center" wrapText="1"/>
    </xf>
    <xf numFmtId="4" fontId="5" fillId="2" borderId="5" xfId="0" applyNumberFormat="1" applyFont="1" applyFill="1" applyBorder="1" applyAlignment="1">
      <alignment horizontal="center" vertical="center" wrapText="1"/>
    </xf>
    <xf numFmtId="0" fontId="3" fillId="3" borderId="0" xfId="0" applyFont="1" applyFill="1" applyAlignment="1">
      <alignment vertical="center"/>
    </xf>
    <xf numFmtId="0" fontId="3" fillId="0" borderId="6" xfId="0" applyFont="1" applyBorder="1"/>
    <xf numFmtId="0" fontId="3" fillId="0" borderId="7" xfId="0" applyFont="1" applyBorder="1"/>
    <xf numFmtId="4" fontId="3" fillId="0" borderId="7" xfId="0" applyNumberFormat="1" applyFont="1" applyBorder="1"/>
    <xf numFmtId="164" fontId="3" fillId="2" borderId="7" xfId="0" applyNumberFormat="1" applyFont="1" applyFill="1" applyBorder="1"/>
    <xf numFmtId="164" fontId="4" fillId="0" borderId="8" xfId="0" applyNumberFormat="1" applyFont="1" applyBorder="1"/>
    <xf numFmtId="4" fontId="4" fillId="0" borderId="7" xfId="0" applyNumberFormat="1" applyFont="1" applyBorder="1"/>
    <xf numFmtId="49" fontId="6" fillId="0" borderId="7" xfId="0" applyNumberFormat="1" applyFont="1" applyBorder="1" applyAlignment="1">
      <alignment horizontal="left"/>
    </xf>
    <xf numFmtId="4" fontId="6" fillId="0" borderId="7" xfId="0" quotePrefix="1" applyNumberFormat="1" applyFont="1" applyBorder="1" applyAlignment="1">
      <alignment horizontal="left"/>
    </xf>
    <xf numFmtId="49" fontId="4" fillId="0" borderId="7" xfId="0" applyNumberFormat="1" applyFont="1" applyBorder="1" applyAlignment="1">
      <alignment horizontal="left"/>
    </xf>
    <xf numFmtId="4" fontId="4" fillId="0" borderId="7" xfId="0" applyNumberFormat="1" applyFont="1" applyBorder="1" applyAlignment="1">
      <alignment horizontal="left"/>
    </xf>
    <xf numFmtId="4" fontId="4" fillId="0" borderId="9" xfId="0" applyNumberFormat="1" applyFont="1" applyBorder="1" applyAlignment="1">
      <alignment horizontal="left"/>
    </xf>
    <xf numFmtId="4" fontId="4" fillId="0" borderId="7" xfId="0" quotePrefix="1" applyNumberFormat="1" applyFont="1" applyBorder="1" applyAlignment="1">
      <alignment horizontal="left"/>
    </xf>
    <xf numFmtId="49" fontId="3" fillId="0" borderId="7" xfId="0" applyNumberFormat="1" applyFont="1" applyBorder="1" applyAlignment="1">
      <alignment horizontal="left"/>
    </xf>
    <xf numFmtId="4" fontId="3" fillId="0" borderId="7" xfId="0" applyNumberFormat="1" applyFont="1" applyBorder="1" applyAlignment="1">
      <alignment horizontal="left"/>
    </xf>
    <xf numFmtId="49" fontId="7" fillId="0" borderId="7" xfId="0" applyNumberFormat="1" applyFont="1" applyBorder="1" applyAlignment="1">
      <alignment horizontal="left"/>
    </xf>
    <xf numFmtId="4" fontId="7" fillId="0" borderId="7" xfId="0" quotePrefix="1" applyNumberFormat="1" applyFont="1" applyBorder="1" applyAlignment="1">
      <alignment horizontal="left"/>
    </xf>
    <xf numFmtId="49" fontId="3" fillId="4" borderId="7" xfId="0" applyNumberFormat="1" applyFont="1" applyFill="1" applyBorder="1" applyAlignment="1">
      <alignment horizontal="left"/>
    </xf>
    <xf numFmtId="0" fontId="4" fillId="0" borderId="7" xfId="0" applyFont="1" applyBorder="1"/>
    <xf numFmtId="4" fontId="8" fillId="0" borderId="7" xfId="0" applyNumberFormat="1" applyFont="1" applyBorder="1" applyAlignment="1">
      <alignment horizontal="left"/>
    </xf>
    <xf numFmtId="0" fontId="3" fillId="5" borderId="7" xfId="0" applyFont="1" applyFill="1" applyBorder="1"/>
    <xf numFmtId="0" fontId="4" fillId="5" borderId="7" xfId="0" applyFont="1" applyFill="1" applyBorder="1"/>
    <xf numFmtId="4" fontId="4" fillId="5" borderId="7" xfId="0" applyNumberFormat="1" applyFont="1" applyFill="1" applyBorder="1"/>
    <xf numFmtId="164" fontId="4" fillId="5" borderId="8" xfId="0" applyNumberFormat="1" applyFont="1" applyFill="1" applyBorder="1"/>
    <xf numFmtId="4" fontId="4" fillId="5" borderId="0" xfId="0" applyNumberFormat="1" applyFont="1" applyFill="1"/>
    <xf numFmtId="0" fontId="3" fillId="5" borderId="0" xfId="0" applyFont="1" applyFill="1"/>
    <xf numFmtId="4" fontId="7" fillId="0" borderId="7" xfId="0" applyNumberFormat="1" applyFont="1" applyBorder="1" applyAlignment="1">
      <alignment horizontal="left"/>
    </xf>
    <xf numFmtId="4" fontId="3" fillId="0" borderId="9" xfId="0" applyNumberFormat="1" applyFont="1" applyBorder="1" applyAlignment="1">
      <alignment horizontal="left"/>
    </xf>
    <xf numFmtId="49" fontId="3" fillId="5" borderId="7" xfId="0" applyNumberFormat="1" applyFont="1" applyFill="1" applyBorder="1" applyAlignment="1">
      <alignment horizontal="left"/>
    </xf>
    <xf numFmtId="4" fontId="3" fillId="5" borderId="0" xfId="0" applyNumberFormat="1" applyFont="1" applyFill="1"/>
    <xf numFmtId="0" fontId="3" fillId="0" borderId="9" xfId="0" applyFont="1" applyBorder="1"/>
    <xf numFmtId="4" fontId="3" fillId="4" borderId="7" xfId="0" applyNumberFormat="1" applyFont="1" applyFill="1" applyBorder="1" applyAlignment="1">
      <alignment horizontal="left"/>
    </xf>
    <xf numFmtId="4" fontId="4" fillId="5" borderId="7" xfId="0" applyNumberFormat="1" applyFont="1" applyFill="1" applyBorder="1" applyAlignment="1">
      <alignment horizontal="left"/>
    </xf>
    <xf numFmtId="164" fontId="4" fillId="5" borderId="0" xfId="0" applyNumberFormat="1" applyFont="1" applyFill="1"/>
    <xf numFmtId="0" fontId="4" fillId="0" borderId="0" xfId="0" applyFont="1"/>
    <xf numFmtId="0" fontId="3" fillId="4" borderId="7" xfId="0" applyFont="1" applyFill="1" applyBorder="1" applyAlignment="1">
      <alignment horizontal="left"/>
    </xf>
    <xf numFmtId="4" fontId="3" fillId="0" borderId="8" xfId="0" applyNumberFormat="1" applyFont="1" applyBorder="1"/>
    <xf numFmtId="4" fontId="3" fillId="0" borderId="9" xfId="0" applyNumberFormat="1" applyFont="1" applyBorder="1"/>
    <xf numFmtId="164" fontId="4" fillId="2" borderId="7" xfId="0" applyNumberFormat="1" applyFont="1" applyFill="1" applyBorder="1"/>
    <xf numFmtId="4" fontId="3" fillId="5" borderId="7" xfId="0" applyNumberFormat="1" applyFont="1" applyFill="1" applyBorder="1"/>
    <xf numFmtId="0" fontId="4" fillId="5" borderId="8" xfId="0" applyFont="1" applyFill="1" applyBorder="1"/>
    <xf numFmtId="4" fontId="4" fillId="5" borderId="9" xfId="0" applyNumberFormat="1" applyFont="1" applyFill="1" applyBorder="1"/>
    <xf numFmtId="0" fontId="4" fillId="0" borderId="8" xfId="0" applyFont="1" applyBorder="1"/>
    <xf numFmtId="4" fontId="4" fillId="0" borderId="8" xfId="0" applyNumberFormat="1" applyFont="1" applyBorder="1" applyAlignment="1">
      <alignment horizontal="left"/>
    </xf>
    <xf numFmtId="4" fontId="4" fillId="0" borderId="9" xfId="0" applyNumberFormat="1" applyFont="1" applyBorder="1"/>
    <xf numFmtId="4" fontId="3" fillId="0" borderId="8" xfId="0" applyNumberFormat="1" applyFont="1" applyBorder="1" applyAlignment="1">
      <alignment horizontal="left"/>
    </xf>
    <xf numFmtId="4" fontId="3" fillId="0" borderId="0" xfId="0" applyNumberFormat="1" applyFont="1" applyAlignment="1">
      <alignment horizontal="left"/>
    </xf>
    <xf numFmtId="4" fontId="4" fillId="0" borderId="0" xfId="0" applyNumberFormat="1" applyFont="1" applyAlignment="1">
      <alignment horizontal="left"/>
    </xf>
    <xf numFmtId="0" fontId="3" fillId="0" borderId="8" xfId="0" applyFont="1" applyBorder="1"/>
    <xf numFmtId="4" fontId="4" fillId="0" borderId="8" xfId="0" applyNumberFormat="1" applyFont="1" applyBorder="1"/>
    <xf numFmtId="49" fontId="3" fillId="0" borderId="7" xfId="0" applyNumberFormat="1" applyFont="1" applyBorder="1"/>
    <xf numFmtId="4" fontId="4" fillId="5" borderId="8" xfId="0" applyNumberFormat="1" applyFont="1" applyFill="1" applyBorder="1" applyAlignment="1">
      <alignment horizontal="left"/>
    </xf>
    <xf numFmtId="4" fontId="4" fillId="5" borderId="8" xfId="0" applyNumberFormat="1" applyFont="1" applyFill="1" applyBorder="1"/>
    <xf numFmtId="49" fontId="3" fillId="0" borderId="8" xfId="0" applyNumberFormat="1" applyFont="1" applyBorder="1" applyAlignment="1">
      <alignment horizontal="left"/>
    </xf>
    <xf numFmtId="49" fontId="4" fillId="0" borderId="8" xfId="1" applyNumberFormat="1" applyFont="1" applyBorder="1"/>
    <xf numFmtId="4" fontId="4" fillId="0" borderId="7" xfId="1" applyNumberFormat="1" applyFont="1" applyBorder="1" applyAlignment="1">
      <alignment horizontal="left"/>
    </xf>
    <xf numFmtId="49" fontId="4" fillId="0" borderId="7" xfId="0" applyNumberFormat="1" applyFont="1" applyBorder="1"/>
    <xf numFmtId="49" fontId="4" fillId="5" borderId="7" xfId="0" applyNumberFormat="1" applyFont="1" applyFill="1" applyBorder="1"/>
    <xf numFmtId="4" fontId="7" fillId="0" borderId="9" xfId="0" applyNumberFormat="1" applyFont="1" applyBorder="1" applyAlignment="1">
      <alignment horizontal="left"/>
    </xf>
    <xf numFmtId="0" fontId="6" fillId="0" borderId="7" xfId="0" applyFont="1" applyBorder="1"/>
    <xf numFmtId="0" fontId="6" fillId="0" borderId="9" xfId="0" applyFont="1" applyBorder="1"/>
    <xf numFmtId="0" fontId="4" fillId="0" borderId="9" xfId="0" applyFont="1" applyBorder="1"/>
    <xf numFmtId="0" fontId="4" fillId="5" borderId="10" xfId="0" applyFont="1" applyFill="1" applyBorder="1"/>
    <xf numFmtId="4" fontId="4" fillId="5" borderId="10" xfId="0" applyNumberFormat="1" applyFont="1" applyFill="1" applyBorder="1"/>
    <xf numFmtId="0" fontId="10" fillId="2" borderId="11" xfId="0" applyFont="1" applyFill="1" applyBorder="1"/>
    <xf numFmtId="0" fontId="10" fillId="2" borderId="12" xfId="0" applyFont="1" applyFill="1" applyBorder="1"/>
    <xf numFmtId="4" fontId="10" fillId="2" borderId="13" xfId="0" applyNumberFormat="1" applyFont="1" applyFill="1" applyBorder="1"/>
    <xf numFmtId="164" fontId="10" fillId="2" borderId="7" xfId="0" applyNumberFormat="1" applyFont="1" applyFill="1" applyBorder="1"/>
    <xf numFmtId="164" fontId="5" fillId="2" borderId="12" xfId="0" applyNumberFormat="1" applyFont="1" applyFill="1" applyBorder="1"/>
    <xf numFmtId="0" fontId="10" fillId="2" borderId="13" xfId="0" applyFont="1" applyFill="1" applyBorder="1"/>
    <xf numFmtId="4" fontId="5" fillId="2" borderId="13" xfId="0" applyNumberFormat="1" applyFont="1" applyFill="1" applyBorder="1"/>
    <xf numFmtId="0" fontId="3" fillId="3" borderId="0" xfId="0" applyFont="1" applyFill="1"/>
    <xf numFmtId="0" fontId="5" fillId="2" borderId="14" xfId="0" applyFont="1" applyFill="1" applyBorder="1"/>
    <xf numFmtId="0" fontId="10" fillId="2" borderId="0" xfId="0" applyFont="1" applyFill="1"/>
    <xf numFmtId="4" fontId="5" fillId="2" borderId="7" xfId="0" applyNumberFormat="1" applyFont="1" applyFill="1" applyBorder="1"/>
    <xf numFmtId="164" fontId="5" fillId="2" borderId="7" xfId="0" applyNumberFormat="1" applyFont="1" applyFill="1" applyBorder="1"/>
    <xf numFmtId="164" fontId="5" fillId="2" borderId="0" xfId="0" applyNumberFormat="1" applyFont="1" applyFill="1"/>
    <xf numFmtId="0" fontId="5" fillId="2" borderId="7" xfId="0" applyFont="1" applyFill="1" applyBorder="1"/>
    <xf numFmtId="0" fontId="10" fillId="2" borderId="15" xfId="0" applyFont="1" applyFill="1" applyBorder="1"/>
    <xf numFmtId="0" fontId="10" fillId="2" borderId="16" xfId="0" applyFont="1" applyFill="1" applyBorder="1"/>
    <xf numFmtId="4" fontId="10" fillId="2" borderId="17" xfId="0" applyNumberFormat="1" applyFont="1" applyFill="1" applyBorder="1"/>
    <xf numFmtId="164" fontId="5" fillId="2" borderId="17" xfId="0" applyNumberFormat="1" applyFont="1" applyFill="1" applyBorder="1"/>
    <xf numFmtId="164" fontId="5" fillId="2" borderId="18" xfId="0" applyNumberFormat="1" applyFont="1" applyFill="1" applyBorder="1"/>
    <xf numFmtId="0" fontId="10" fillId="2" borderId="17" xfId="0" applyFont="1" applyFill="1" applyBorder="1"/>
    <xf numFmtId="4" fontId="5" fillId="2" borderId="17" xfId="0" applyNumberFormat="1" applyFont="1" applyFill="1" applyBorder="1"/>
    <xf numFmtId="164" fontId="3" fillId="3" borderId="0" xfId="0" applyNumberFormat="1" applyFont="1" applyFill="1"/>
    <xf numFmtId="4" fontId="3" fillId="6" borderId="0" xfId="0" applyNumberFormat="1" applyFont="1" applyFill="1"/>
    <xf numFmtId="0" fontId="3" fillId="6" borderId="0" xfId="0" applyFont="1" applyFill="1"/>
    <xf numFmtId="0" fontId="3" fillId="0" borderId="0" xfId="2" applyFont="1"/>
    <xf numFmtId="4" fontId="3" fillId="0" borderId="0" xfId="2" applyNumberFormat="1" applyFont="1"/>
    <xf numFmtId="4" fontId="3" fillId="0" borderId="0" xfId="3" applyNumberFormat="1" applyFont="1" applyFill="1"/>
    <xf numFmtId="165" fontId="3" fillId="0" borderId="0" xfId="3" applyFont="1" applyFill="1"/>
    <xf numFmtId="0" fontId="3" fillId="0" borderId="0" xfId="2" applyFont="1" applyAlignment="1">
      <alignment horizontal="left"/>
    </xf>
    <xf numFmtId="4" fontId="3" fillId="0" borderId="0" xfId="2" applyNumberFormat="1" applyFont="1" applyAlignment="1">
      <alignment horizontal="left"/>
    </xf>
    <xf numFmtId="0" fontId="4" fillId="0" borderId="0" xfId="2" applyFont="1" applyAlignment="1">
      <alignment horizontal="left"/>
    </xf>
    <xf numFmtId="0" fontId="4" fillId="0" borderId="0" xfId="2" applyFont="1"/>
    <xf numFmtId="4" fontId="5" fillId="2" borderId="0" xfId="0" applyNumberFormat="1" applyFont="1" applyFill="1" applyAlignment="1">
      <alignment horizontal="center" vertical="center" wrapText="1"/>
    </xf>
    <xf numFmtId="0" fontId="5" fillId="2" borderId="0" xfId="2" applyFont="1" applyFill="1" applyAlignment="1">
      <alignment horizontal="center" vertical="center" wrapText="1"/>
    </xf>
    <xf numFmtId="4" fontId="5" fillId="2" borderId="0" xfId="2" applyNumberFormat="1" applyFont="1" applyFill="1" applyAlignment="1">
      <alignment horizontal="center" vertical="center" wrapText="1"/>
    </xf>
    <xf numFmtId="0" fontId="3" fillId="2" borderId="0" xfId="2" applyFont="1" applyFill="1"/>
    <xf numFmtId="4" fontId="3" fillId="0" borderId="0" xfId="3" applyNumberFormat="1" applyFont="1" applyFill="1" applyBorder="1"/>
    <xf numFmtId="49" fontId="4" fillId="0" borderId="0" xfId="0" applyNumberFormat="1" applyFont="1" applyAlignment="1">
      <alignment horizontal="left"/>
    </xf>
    <xf numFmtId="4" fontId="4" fillId="0" borderId="0" xfId="0" quotePrefix="1" applyNumberFormat="1" applyFont="1" applyAlignment="1">
      <alignment horizontal="left"/>
    </xf>
    <xf numFmtId="4" fontId="4" fillId="0" borderId="0" xfId="2" applyNumberFormat="1" applyFont="1"/>
    <xf numFmtId="4" fontId="4" fillId="0" borderId="0" xfId="3" applyNumberFormat="1" applyFont="1" applyFill="1"/>
    <xf numFmtId="49" fontId="3" fillId="0" borderId="0" xfId="0" applyNumberFormat="1" applyFont="1" applyAlignment="1">
      <alignment horizontal="left"/>
    </xf>
    <xf numFmtId="0" fontId="4" fillId="5" borderId="0" xfId="0" applyFont="1" applyFill="1"/>
    <xf numFmtId="49" fontId="7" fillId="0" borderId="0" xfId="0" applyNumberFormat="1" applyFont="1" applyAlignment="1">
      <alignment horizontal="left"/>
    </xf>
    <xf numFmtId="4" fontId="7" fillId="0" borderId="0" xfId="0" quotePrefix="1" applyNumberFormat="1" applyFont="1" applyAlignment="1">
      <alignment horizontal="left"/>
    </xf>
    <xf numFmtId="43" fontId="3" fillId="0" borderId="0" xfId="2" applyNumberFormat="1" applyFont="1"/>
    <xf numFmtId="49" fontId="4" fillId="4" borderId="0" xfId="0" applyNumberFormat="1" applyFont="1" applyFill="1" applyAlignment="1">
      <alignment horizontal="left"/>
    </xf>
    <xf numFmtId="4" fontId="3" fillId="2" borderId="0" xfId="3" applyNumberFormat="1" applyFont="1" applyFill="1" applyBorder="1"/>
    <xf numFmtId="4" fontId="7" fillId="0" borderId="0" xfId="0" applyNumberFormat="1" applyFont="1" applyAlignment="1">
      <alignment horizontal="left"/>
    </xf>
    <xf numFmtId="0" fontId="5" fillId="2" borderId="0" xfId="2" applyFont="1" applyFill="1"/>
    <xf numFmtId="4" fontId="5" fillId="2" borderId="0" xfId="2" applyNumberFormat="1" applyFont="1" applyFill="1"/>
    <xf numFmtId="0" fontId="3" fillId="3" borderId="0" xfId="2" applyFont="1" applyFill="1"/>
    <xf numFmtId="0" fontId="11" fillId="0" borderId="0" xfId="0" applyFont="1"/>
    <xf numFmtId="0" fontId="2" fillId="0" borderId="0" xfId="0" applyFont="1"/>
    <xf numFmtId="0" fontId="5" fillId="2" borderId="20" xfId="0" applyFont="1" applyFill="1" applyBorder="1" applyAlignment="1">
      <alignment horizontal="center"/>
    </xf>
    <xf numFmtId="4" fontId="5" fillId="2" borderId="20" xfId="0" applyNumberFormat="1" applyFont="1" applyFill="1" applyBorder="1" applyAlignment="1">
      <alignment horizontal="center"/>
    </xf>
    <xf numFmtId="4" fontId="3" fillId="0" borderId="20" xfId="0" applyNumberFormat="1" applyFont="1" applyBorder="1" applyAlignment="1">
      <alignment horizontal="left"/>
    </xf>
    <xf numFmtId="4" fontId="3" fillId="0" borderId="20" xfId="0" applyNumberFormat="1" applyFont="1" applyBorder="1"/>
    <xf numFmtId="4" fontId="7" fillId="0" borderId="0" xfId="0" applyNumberFormat="1" applyFont="1"/>
    <xf numFmtId="0" fontId="10" fillId="2" borderId="20" xfId="0" applyFont="1" applyFill="1" applyBorder="1"/>
    <xf numFmtId="4" fontId="10" fillId="2" borderId="20" xfId="0" applyNumberFormat="1" applyFont="1" applyFill="1" applyBorder="1"/>
    <xf numFmtId="4" fontId="12" fillId="0" borderId="21" xfId="0" applyNumberFormat="1" applyFont="1" applyBorder="1" applyAlignment="1">
      <alignment horizontal="center" vertical="center"/>
    </xf>
    <xf numFmtId="4" fontId="12" fillId="0" borderId="21" xfId="0" applyNumberFormat="1" applyFont="1" applyBorder="1" applyAlignment="1">
      <alignment horizontal="center" vertical="center" wrapText="1"/>
    </xf>
    <xf numFmtId="4" fontId="0" fillId="0" borderId="0" xfId="0" applyNumberFormat="1"/>
    <xf numFmtId="0" fontId="13" fillId="7" borderId="0" xfId="0" applyFont="1" applyFill="1"/>
    <xf numFmtId="4" fontId="13" fillId="7" borderId="0" xfId="0" applyNumberFormat="1" applyFont="1" applyFill="1"/>
    <xf numFmtId="0" fontId="17" fillId="0" borderId="0" xfId="2" applyFont="1"/>
    <xf numFmtId="4" fontId="17" fillId="0" borderId="0" xfId="2" applyNumberFormat="1" applyFont="1"/>
    <xf numFmtId="0" fontId="1" fillId="0" borderId="0" xfId="4"/>
    <xf numFmtId="0" fontId="15" fillId="8" borderId="20" xfId="4" applyFont="1" applyFill="1" applyBorder="1" applyAlignment="1">
      <alignment horizontal="center" vertical="center" wrapText="1"/>
    </xf>
    <xf numFmtId="4" fontId="15" fillId="7" borderId="20" xfId="4" applyNumberFormat="1" applyFont="1" applyFill="1" applyBorder="1" applyAlignment="1">
      <alignment horizontal="center" vertical="center" wrapText="1"/>
    </xf>
    <xf numFmtId="0" fontId="15" fillId="9" borderId="20" xfId="4" applyFont="1" applyFill="1" applyBorder="1" applyAlignment="1">
      <alignment horizontal="center" vertical="center" wrapText="1"/>
    </xf>
    <xf numFmtId="0" fontId="15" fillId="10" borderId="20" xfId="4" applyFont="1" applyFill="1" applyBorder="1" applyAlignment="1">
      <alignment horizontal="center" vertical="center" wrapText="1"/>
    </xf>
    <xf numFmtId="4" fontId="1" fillId="0" borderId="0" xfId="4" applyNumberFormat="1"/>
    <xf numFmtId="0" fontId="14" fillId="11" borderId="20" xfId="4" applyFont="1" applyFill="1" applyBorder="1" applyAlignment="1">
      <alignment vertical="center" wrapText="1"/>
    </xf>
    <xf numFmtId="4" fontId="14" fillId="11" borderId="20" xfId="4" applyNumberFormat="1" applyFont="1" applyFill="1" applyBorder="1" applyAlignment="1">
      <alignment vertical="center"/>
    </xf>
    <xf numFmtId="0" fontId="14" fillId="0" borderId="0" xfId="4" applyFont="1"/>
    <xf numFmtId="4" fontId="14" fillId="0" borderId="0" xfId="4" applyNumberFormat="1" applyFont="1"/>
    <xf numFmtId="0" fontId="14" fillId="0" borderId="20" xfId="4" applyFont="1" applyBorder="1" applyAlignment="1">
      <alignment vertical="center" wrapText="1"/>
    </xf>
    <xf numFmtId="4" fontId="18" fillId="0" borderId="20" xfId="4" applyNumberFormat="1" applyFont="1" applyBorder="1" applyAlignment="1">
      <alignment vertical="center"/>
    </xf>
    <xf numFmtId="0" fontId="1" fillId="0" borderId="20" xfId="4" applyBorder="1" applyAlignment="1">
      <alignment vertical="center" wrapText="1"/>
    </xf>
    <xf numFmtId="4" fontId="1" fillId="0" borderId="20" xfId="4" applyNumberFormat="1" applyBorder="1" applyAlignment="1">
      <alignment vertical="center"/>
    </xf>
    <xf numFmtId="4" fontId="19" fillId="0" borderId="20" xfId="4" applyNumberFormat="1" applyFont="1" applyBorder="1" applyAlignment="1">
      <alignment vertical="center"/>
    </xf>
    <xf numFmtId="0" fontId="20" fillId="0" borderId="20" xfId="4" applyFont="1" applyBorder="1" applyAlignment="1">
      <alignment vertical="center" wrapText="1"/>
    </xf>
    <xf numFmtId="4" fontId="1" fillId="4" borderId="20" xfId="4" applyNumberFormat="1" applyFill="1" applyBorder="1"/>
    <xf numFmtId="4" fontId="14" fillId="0" borderId="20" xfId="4" applyNumberFormat="1" applyFont="1" applyBorder="1" applyAlignment="1">
      <alignment vertical="center"/>
    </xf>
    <xf numFmtId="0" fontId="14" fillId="4" borderId="20" xfId="4" applyFont="1" applyFill="1" applyBorder="1" applyAlignment="1">
      <alignment vertical="center" wrapText="1"/>
    </xf>
    <xf numFmtId="4" fontId="14" fillId="4" borderId="20" xfId="4" applyNumberFormat="1" applyFont="1" applyFill="1" applyBorder="1" applyAlignment="1">
      <alignment vertical="center"/>
    </xf>
    <xf numFmtId="0" fontId="19" fillId="0" borderId="20" xfId="4" applyFont="1" applyBorder="1" applyAlignment="1">
      <alignment vertical="center" wrapText="1"/>
    </xf>
    <xf numFmtId="4" fontId="19" fillId="4" borderId="20" xfId="4" applyNumberFormat="1" applyFont="1" applyFill="1" applyBorder="1"/>
    <xf numFmtId="4" fontId="19" fillId="0" borderId="0" xfId="4" applyNumberFormat="1" applyFont="1"/>
    <xf numFmtId="0" fontId="19" fillId="0" borderId="0" xfId="4" applyFont="1"/>
    <xf numFmtId="0" fontId="14" fillId="12" borderId="20" xfId="4" applyFont="1" applyFill="1" applyBorder="1" applyAlignment="1">
      <alignment vertical="center" wrapText="1"/>
    </xf>
    <xf numFmtId="4" fontId="14" fillId="12" borderId="20" xfId="4" applyNumberFormat="1" applyFont="1" applyFill="1" applyBorder="1"/>
    <xf numFmtId="4" fontId="14" fillId="12" borderId="0" xfId="4" applyNumberFormat="1" applyFont="1" applyFill="1"/>
    <xf numFmtId="0" fontId="14" fillId="12" borderId="0" xfId="4" applyFont="1" applyFill="1"/>
    <xf numFmtId="4" fontId="19" fillId="0" borderId="20" xfId="4" applyNumberFormat="1" applyFont="1" applyBorder="1"/>
    <xf numFmtId="4" fontId="1" fillId="0" borderId="20" xfId="4" applyNumberFormat="1" applyBorder="1"/>
    <xf numFmtId="0" fontId="1" fillId="11" borderId="20" xfId="4" applyFill="1" applyBorder="1" applyAlignment="1">
      <alignment vertical="center" wrapText="1"/>
    </xf>
    <xf numFmtId="4" fontId="1" fillId="11" borderId="20" xfId="4" applyNumberFormat="1" applyFill="1" applyBorder="1" applyAlignment="1">
      <alignment vertical="center"/>
    </xf>
    <xf numFmtId="0" fontId="15" fillId="8" borderId="20" xfId="4" applyFont="1" applyFill="1" applyBorder="1"/>
    <xf numFmtId="4" fontId="15" fillId="8" borderId="20" xfId="2" applyNumberFormat="1" applyFont="1" applyFill="1" applyBorder="1"/>
    <xf numFmtId="0" fontId="15" fillId="8" borderId="7" xfId="4" applyFont="1" applyFill="1" applyBorder="1"/>
    <xf numFmtId="0" fontId="15" fillId="8" borderId="0" xfId="4" applyFont="1" applyFill="1"/>
    <xf numFmtId="4" fontId="15" fillId="8" borderId="0" xfId="2" applyNumberFormat="1" applyFont="1" applyFill="1"/>
    <xf numFmtId="0" fontId="8" fillId="0" borderId="7" xfId="4" applyFont="1" applyBorder="1" applyAlignment="1">
      <alignment vertical="center"/>
    </xf>
    <xf numFmtId="0" fontId="13" fillId="13" borderId="0" xfId="0" applyFont="1" applyFill="1"/>
    <xf numFmtId="4" fontId="13" fillId="13" borderId="0" xfId="0" applyNumberFormat="1" applyFont="1" applyFill="1"/>
    <xf numFmtId="0" fontId="13" fillId="7" borderId="0" xfId="0" applyFont="1" applyFill="1" applyAlignment="1">
      <alignment wrapText="1"/>
    </xf>
    <xf numFmtId="0" fontId="0" fillId="14" borderId="0" xfId="0" applyFill="1"/>
    <xf numFmtId="4" fontId="0" fillId="14" borderId="0" xfId="0" applyNumberFormat="1" applyFill="1"/>
    <xf numFmtId="0" fontId="13" fillId="10" borderId="0" xfId="0" applyFont="1" applyFill="1" applyAlignment="1">
      <alignment wrapText="1"/>
    </xf>
    <xf numFmtId="0" fontId="0" fillId="15" borderId="0" xfId="0" applyFill="1"/>
    <xf numFmtId="4" fontId="0" fillId="15" borderId="0" xfId="0" applyNumberFormat="1" applyFill="1"/>
    <xf numFmtId="0" fontId="13" fillId="16" borderId="0" xfId="0" applyFont="1" applyFill="1" applyAlignment="1">
      <alignment wrapText="1"/>
    </xf>
    <xf numFmtId="0" fontId="0" fillId="4" borderId="0" xfId="0" applyFill="1"/>
    <xf numFmtId="10" fontId="0" fillId="4" borderId="0" xfId="5" applyNumberFormat="1" applyFont="1" applyFill="1"/>
    <xf numFmtId="10" fontId="0" fillId="4" borderId="0" xfId="0" applyNumberFormat="1" applyFill="1"/>
    <xf numFmtId="0" fontId="26" fillId="0" borderId="0" xfId="0" applyFont="1"/>
    <xf numFmtId="0" fontId="27" fillId="20" borderId="20" xfId="0" applyFont="1" applyFill="1" applyBorder="1" applyAlignment="1">
      <alignment horizontal="center" vertical="center" wrapText="1"/>
    </xf>
    <xf numFmtId="0" fontId="29" fillId="19" borderId="22" xfId="0" applyFont="1" applyFill="1" applyBorder="1" applyAlignment="1">
      <alignment horizontal="center" wrapText="1"/>
    </xf>
    <xf numFmtId="0" fontId="29" fillId="19" borderId="23" xfId="0" applyFont="1" applyFill="1" applyBorder="1" applyAlignment="1">
      <alignment horizontal="center" wrapText="1"/>
    </xf>
    <xf numFmtId="0" fontId="30" fillId="17" borderId="24" xfId="0" applyFont="1" applyFill="1" applyBorder="1"/>
    <xf numFmtId="43" fontId="31" fillId="18" borderId="20" xfId="0" applyNumberFormat="1" applyFont="1" applyFill="1" applyBorder="1"/>
    <xf numFmtId="0" fontId="25" fillId="19" borderId="24" xfId="0" applyFont="1" applyFill="1" applyBorder="1" applyAlignment="1">
      <alignment wrapText="1"/>
    </xf>
    <xf numFmtId="43" fontId="26" fillId="0" borderId="20" xfId="6" applyFont="1" applyBorder="1" applyAlignment="1" applyProtection="1">
      <protection locked="0"/>
    </xf>
    <xf numFmtId="0" fontId="25" fillId="19" borderId="25" xfId="0" applyFont="1" applyFill="1" applyBorder="1" applyAlignment="1">
      <alignment wrapText="1"/>
    </xf>
    <xf numFmtId="0" fontId="25" fillId="19" borderId="26" xfId="0" applyFont="1" applyFill="1" applyBorder="1" applyAlignment="1">
      <alignment wrapText="1"/>
    </xf>
    <xf numFmtId="0" fontId="25" fillId="19" borderId="26" xfId="0" applyFont="1" applyFill="1" applyBorder="1"/>
    <xf numFmtId="0" fontId="27" fillId="22" borderId="24" xfId="0" applyFont="1" applyFill="1" applyBorder="1" applyAlignment="1">
      <alignment horizontal="center" vertical="center" wrapText="1"/>
    </xf>
    <xf numFmtId="0" fontId="27" fillId="20" borderId="25" xfId="0" applyFont="1" applyFill="1" applyBorder="1" applyAlignment="1">
      <alignment horizontal="center" vertical="center" wrapText="1"/>
    </xf>
    <xf numFmtId="0" fontId="27" fillId="20" borderId="0" xfId="0" applyFont="1" applyFill="1" applyAlignment="1">
      <alignment horizontal="center" vertical="center" wrapText="1"/>
    </xf>
    <xf numFmtId="0" fontId="26" fillId="0" borderId="0" xfId="0" applyFont="1" applyAlignment="1">
      <alignment horizontal="center" wrapText="1"/>
    </xf>
    <xf numFmtId="0" fontId="34" fillId="0" borderId="27" xfId="0" applyFont="1" applyBorder="1" applyAlignment="1" applyProtection="1">
      <alignment horizontal="left" wrapText="1"/>
      <protection locked="0"/>
    </xf>
    <xf numFmtId="0" fontId="34" fillId="0" borderId="33" xfId="0" applyFont="1" applyBorder="1" applyAlignment="1" applyProtection="1">
      <alignment wrapText="1"/>
      <protection locked="0"/>
    </xf>
    <xf numFmtId="0" fontId="34" fillId="0" borderId="20" xfId="0" applyFont="1" applyBorder="1" applyAlignment="1" applyProtection="1">
      <alignment wrapText="1"/>
      <protection locked="0"/>
    </xf>
    <xf numFmtId="0" fontId="3" fillId="0" borderId="0" xfId="0" applyFont="1" applyAlignment="1">
      <alignment horizontal="center"/>
    </xf>
    <xf numFmtId="0" fontId="3" fillId="0" borderId="19" xfId="0" applyFont="1" applyBorder="1" applyAlignment="1">
      <alignment horizontal="center"/>
    </xf>
    <xf numFmtId="0" fontId="0" fillId="0" borderId="0" xfId="0" applyAlignment="1">
      <alignment horizontal="center"/>
    </xf>
    <xf numFmtId="0" fontId="26" fillId="0" borderId="20" xfId="0" applyFont="1" applyBorder="1" applyAlignment="1" applyProtection="1">
      <alignment horizontal="left" wrapText="1"/>
      <protection locked="0"/>
    </xf>
    <xf numFmtId="0" fontId="27" fillId="20" borderId="20" xfId="0" applyFont="1" applyFill="1" applyBorder="1" applyAlignment="1">
      <alignment horizontal="center" vertical="center" wrapText="1"/>
    </xf>
    <xf numFmtId="0" fontId="26" fillId="0" borderId="30" xfId="0" applyFont="1" applyBorder="1" applyAlignment="1" applyProtection="1">
      <alignment horizontal="left" wrapText="1"/>
      <protection locked="0"/>
    </xf>
    <xf numFmtId="0" fontId="26" fillId="0" borderId="31" xfId="0" applyFont="1" applyBorder="1" applyAlignment="1" applyProtection="1">
      <alignment horizontal="left" wrapText="1"/>
      <protection locked="0"/>
    </xf>
    <xf numFmtId="0" fontId="26" fillId="0" borderId="32" xfId="0" applyFont="1" applyBorder="1" applyAlignment="1" applyProtection="1">
      <alignment horizontal="left" wrapText="1"/>
      <protection locked="0"/>
    </xf>
    <xf numFmtId="0" fontId="27" fillId="20" borderId="34" xfId="0" applyFont="1" applyFill="1" applyBorder="1" applyAlignment="1">
      <alignment horizontal="center" vertical="center" wrapText="1"/>
    </xf>
    <xf numFmtId="0" fontId="27" fillId="20" borderId="30" xfId="0" applyFont="1" applyFill="1" applyBorder="1" applyAlignment="1">
      <alignment horizontal="center" vertical="center" wrapText="1"/>
    </xf>
    <xf numFmtId="0" fontId="27" fillId="20" borderId="31" xfId="0" applyFont="1" applyFill="1" applyBorder="1" applyAlignment="1">
      <alignment horizontal="center" vertical="center" wrapText="1"/>
    </xf>
    <xf numFmtId="0" fontId="27" fillId="20" borderId="32" xfId="0" applyFont="1" applyFill="1" applyBorder="1" applyAlignment="1">
      <alignment horizontal="center" vertical="center" wrapText="1"/>
    </xf>
    <xf numFmtId="0" fontId="26" fillId="0" borderId="28" xfId="0" applyFont="1" applyBorder="1" applyAlignment="1" applyProtection="1">
      <alignment horizontal="left" wrapText="1"/>
      <protection locked="0"/>
    </xf>
    <xf numFmtId="0" fontId="26" fillId="0" borderId="19" xfId="0" applyFont="1" applyBorder="1" applyAlignment="1" applyProtection="1">
      <alignment horizontal="left" wrapText="1"/>
      <protection locked="0"/>
    </xf>
    <xf numFmtId="0" fontId="26" fillId="0" borderId="29" xfId="0" applyFont="1" applyBorder="1" applyAlignment="1" applyProtection="1">
      <alignment horizontal="left" wrapText="1"/>
      <protection locked="0"/>
    </xf>
    <xf numFmtId="0" fontId="28" fillId="17" borderId="0" xfId="0" applyFont="1" applyFill="1" applyAlignment="1">
      <alignment horizontal="center" vertical="center" wrapText="1"/>
    </xf>
    <xf numFmtId="0" fontId="32" fillId="18" borderId="0" xfId="0" applyFont="1" applyFill="1"/>
    <xf numFmtId="0" fontId="33" fillId="18" borderId="23" xfId="0" applyFont="1" applyFill="1" applyBorder="1"/>
    <xf numFmtId="0" fontId="26" fillId="0" borderId="20" xfId="0" applyFont="1" applyBorder="1" applyAlignment="1" applyProtection="1">
      <alignment horizontal="center" wrapText="1"/>
      <protection locked="0"/>
    </xf>
    <xf numFmtId="0" fontId="28" fillId="20" borderId="20" xfId="0" applyFont="1" applyFill="1" applyBorder="1" applyAlignment="1">
      <alignment horizontal="center"/>
    </xf>
    <xf numFmtId="0" fontId="28" fillId="20" borderId="20" xfId="0" applyFont="1" applyFill="1" applyBorder="1" applyAlignment="1">
      <alignment horizontal="center" vertical="center" wrapText="1"/>
    </xf>
    <xf numFmtId="0" fontId="32" fillId="21" borderId="20" xfId="0" applyFont="1" applyFill="1" applyBorder="1"/>
    <xf numFmtId="0" fontId="33" fillId="21" borderId="20" xfId="0" applyFont="1" applyFill="1" applyBorder="1"/>
    <xf numFmtId="0" fontId="21" fillId="0" borderId="0" xfId="0" applyFont="1" applyAlignment="1">
      <alignment horizontal="center"/>
    </xf>
    <xf numFmtId="0" fontId="22" fillId="0" borderId="0" xfId="0" applyFont="1"/>
    <xf numFmtId="0" fontId="23" fillId="17" borderId="0" xfId="0" applyFont="1" applyFill="1" applyAlignment="1">
      <alignment horizontal="left"/>
    </xf>
    <xf numFmtId="0" fontId="24" fillId="18" borderId="0" xfId="0" applyFont="1" applyFill="1"/>
    <xf numFmtId="0" fontId="25" fillId="0" borderId="0" xfId="0" applyFont="1" applyAlignment="1">
      <alignment vertical="center" wrapText="1"/>
    </xf>
    <xf numFmtId="0" fontId="26" fillId="0" borderId="0" xfId="0" applyFont="1"/>
    <xf numFmtId="0" fontId="25" fillId="19" borderId="0" xfId="0" applyFont="1" applyFill="1" applyAlignment="1">
      <alignment vertical="top" wrapText="1"/>
    </xf>
    <xf numFmtId="0" fontId="26" fillId="0" borderId="0" xfId="0" applyFont="1" applyAlignment="1">
      <alignment wrapText="1"/>
    </xf>
    <xf numFmtId="0" fontId="4" fillId="0" borderId="0" xfId="0" applyFont="1" applyAlignment="1">
      <alignment horizontal="center"/>
    </xf>
    <xf numFmtId="4" fontId="4" fillId="0" borderId="0" xfId="0" applyNumberFormat="1" applyFont="1" applyAlignment="1">
      <alignment horizontal="center"/>
    </xf>
    <xf numFmtId="0" fontId="5" fillId="2" borderId="1" xfId="0" applyFont="1" applyFill="1" applyBorder="1" applyAlignment="1">
      <alignment horizontal="center" vertical="center"/>
    </xf>
    <xf numFmtId="0" fontId="5" fillId="2" borderId="2" xfId="0" applyFont="1" applyFill="1" applyBorder="1" applyAlignment="1">
      <alignment horizontal="center" vertical="center"/>
    </xf>
    <xf numFmtId="0" fontId="5" fillId="2" borderId="3" xfId="0" applyFont="1" applyFill="1" applyBorder="1" applyAlignment="1">
      <alignment horizontal="center" vertical="center"/>
    </xf>
    <xf numFmtId="0" fontId="5" fillId="2" borderId="4" xfId="0" applyFont="1" applyFill="1" applyBorder="1" applyAlignment="1">
      <alignment horizontal="center" vertical="center"/>
    </xf>
    <xf numFmtId="0" fontId="4" fillId="0" borderId="0" xfId="2" applyFont="1" applyAlignment="1">
      <alignment horizontal="center"/>
    </xf>
    <xf numFmtId="0" fontId="5" fillId="2" borderId="0" xfId="0" applyFont="1" applyFill="1" applyAlignment="1">
      <alignment horizontal="center" vertical="center"/>
    </xf>
    <xf numFmtId="0" fontId="4" fillId="0" borderId="19" xfId="2" applyFont="1" applyBorder="1" applyAlignment="1">
      <alignment horizontal="center"/>
    </xf>
    <xf numFmtId="0" fontId="16" fillId="0" borderId="0" xfId="2" applyFont="1" applyAlignment="1">
      <alignment horizontal="center"/>
    </xf>
    <xf numFmtId="0" fontId="16" fillId="0" borderId="19" xfId="2" applyFont="1" applyBorder="1" applyAlignment="1">
      <alignment horizontal="center"/>
    </xf>
  </cellXfs>
  <cellStyles count="7">
    <cellStyle name="Millares" xfId="6" builtinId="3"/>
    <cellStyle name="Millares 2 2" xfId="3" xr:uid="{407737A1-A625-4CAB-BB31-A106AE36588D}"/>
    <cellStyle name="Normal" xfId="0" builtinId="0"/>
    <cellStyle name="Normal 14" xfId="1" xr:uid="{202E4678-D97A-4065-8F98-2944290AEC47}"/>
    <cellStyle name="Normal 2" xfId="4" xr:uid="{4FD98466-8301-4ACD-8EBD-888FE3BFBA97}"/>
    <cellStyle name="Normal 2 2" xfId="2" xr:uid="{42C148DB-AAEF-46EE-BBC3-803E067EB129}"/>
    <cellStyle name="Porcentaje" xfId="5"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2"/>
            </a:solidFill>
            <a:ln>
              <a:noFill/>
            </a:ln>
            <a:effectLst>
              <a:outerShdw blurRad="76200" dir="18900000" sy="23000" kx="-1200000" algn="bl" rotWithShape="0">
                <a:prstClr val="black">
                  <a:alpha val="2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s-C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numRef>
              <c:f>gráficos!$A$14:$A$21</c:f>
              <c:numCache>
                <c:formatCode>General</c:formatCode>
                <c:ptCount val="8"/>
                <c:pt idx="0">
                  <c:v>2019</c:v>
                </c:pt>
                <c:pt idx="1">
                  <c:v>2020</c:v>
                </c:pt>
                <c:pt idx="2">
                  <c:v>2021</c:v>
                </c:pt>
                <c:pt idx="3">
                  <c:v>2022</c:v>
                </c:pt>
                <c:pt idx="4">
                  <c:v>2023</c:v>
                </c:pt>
                <c:pt idx="5">
                  <c:v>2024</c:v>
                </c:pt>
                <c:pt idx="6">
                  <c:v>2025</c:v>
                </c:pt>
                <c:pt idx="7">
                  <c:v>2026</c:v>
                </c:pt>
              </c:numCache>
            </c:numRef>
          </c:cat>
          <c:val>
            <c:numRef>
              <c:f>gráficos!$B$14:$B$21</c:f>
              <c:numCache>
                <c:formatCode>0.00%</c:formatCode>
                <c:ptCount val="8"/>
                <c:pt idx="0">
                  <c:v>5.0500000000000003E-2</c:v>
                </c:pt>
                <c:pt idx="1">
                  <c:v>-3.5299999999999998E-2</c:v>
                </c:pt>
                <c:pt idx="2">
                  <c:v>0.105</c:v>
                </c:pt>
                <c:pt idx="3">
                  <c:v>0.11119999999999999</c:v>
                </c:pt>
                <c:pt idx="4">
                  <c:v>5.0200000000000002E-2</c:v>
                </c:pt>
                <c:pt idx="5">
                  <c:v>0.04</c:v>
                </c:pt>
                <c:pt idx="6">
                  <c:v>0.04</c:v>
                </c:pt>
                <c:pt idx="7">
                  <c:v>0.04</c:v>
                </c:pt>
              </c:numCache>
            </c:numRef>
          </c:val>
          <c:extLst>
            <c:ext xmlns:c16="http://schemas.microsoft.com/office/drawing/2014/chart" uri="{C3380CC4-5D6E-409C-BE32-E72D297353CC}">
              <c16:uniqueId val="{00000000-2717-4598-B2E4-3AFCA13FB601}"/>
            </c:ext>
          </c:extLst>
        </c:ser>
        <c:dLbls>
          <c:dLblPos val="inEnd"/>
          <c:showLegendKey val="0"/>
          <c:showVal val="1"/>
          <c:showCatName val="0"/>
          <c:showSerName val="0"/>
          <c:showPercent val="0"/>
          <c:showBubbleSize val="0"/>
        </c:dLbls>
        <c:gapWidth val="41"/>
        <c:axId val="1883606400"/>
        <c:axId val="1883629920"/>
      </c:barChart>
      <c:catAx>
        <c:axId val="1883606400"/>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85000"/>
                    <a:lumOff val="15000"/>
                  </a:schemeClr>
                </a:solidFill>
                <a:effectLst/>
                <a:latin typeface="+mn-lt"/>
                <a:ea typeface="+mn-ea"/>
                <a:cs typeface="+mn-cs"/>
              </a:defRPr>
            </a:pPr>
            <a:endParaRPr lang="es-CR"/>
          </a:p>
        </c:txPr>
        <c:crossAx val="1883629920"/>
        <c:crosses val="autoZero"/>
        <c:auto val="1"/>
        <c:lblAlgn val="ctr"/>
        <c:lblOffset val="100"/>
        <c:noMultiLvlLbl val="0"/>
      </c:catAx>
      <c:valAx>
        <c:axId val="1883629920"/>
        <c:scaling>
          <c:orientation val="minMax"/>
        </c:scaling>
        <c:delete val="1"/>
        <c:axPos val="l"/>
        <c:numFmt formatCode="0.00%" sourceLinked="1"/>
        <c:majorTickMark val="none"/>
        <c:minorTickMark val="none"/>
        <c:tickLblPos val="nextTo"/>
        <c:crossAx val="1883606400"/>
        <c:crosses val="autoZero"/>
        <c:crossBetween val="between"/>
      </c:valAx>
      <c:spPr>
        <a:noFill/>
        <a:ln>
          <a:noFill/>
        </a:ln>
        <a:effectLst/>
      </c:spPr>
    </c:plotArea>
    <c:plotVisOnly val="1"/>
    <c:dispBlanksAs val="gap"/>
    <c:showDLblsOverMax val="0"/>
  </c:chart>
  <c:spPr>
    <a:gradFill flip="none" rotWithShape="1">
      <a:gsLst>
        <a:gs pos="0">
          <a:schemeClr val="lt1"/>
        </a:gs>
        <a:gs pos="68000">
          <a:schemeClr val="lt1">
            <a:lumMod val="85000"/>
          </a:schemeClr>
        </a:gs>
        <a:gs pos="100000">
          <a:schemeClr val="lt1"/>
        </a:gs>
      </a:gsLst>
      <a:lin ang="5400000" scaled="1"/>
      <a:tileRect/>
    </a:gradFill>
    <a:ln w="9525" cap="flat" cmpd="sng" algn="ctr">
      <a:solidFill>
        <a:schemeClr val="dk1">
          <a:lumMod val="15000"/>
          <a:lumOff val="85000"/>
        </a:schemeClr>
      </a:solidFill>
      <a:round/>
    </a:ln>
    <a:effectLst/>
  </c:spPr>
  <c:txPr>
    <a:bodyPr/>
    <a:lstStyle/>
    <a:p>
      <a:pPr>
        <a:defRPr/>
      </a:pPr>
      <a:endParaRPr lang="es-CR"/>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0"/>
      <c:rotY val="0"/>
      <c:depthPercent val="60"/>
      <c:rAngAx val="0"/>
      <c:perspective val="100"/>
    </c:view3D>
    <c:floor>
      <c:thickness val="0"/>
      <c:spPr>
        <a:solidFill>
          <a:schemeClr val="lt1">
            <a:lumMod val="95000"/>
          </a:schemeClr>
        </a:solid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0.10342825896762904"/>
          <c:y val="7.407407407407407E-2"/>
          <c:w val="0.85212729658792652"/>
          <c:h val="0.84204505686789155"/>
        </c:manualLayout>
      </c:layout>
      <c:bar3DChart>
        <c:barDir val="col"/>
        <c:grouping val="clustered"/>
        <c:varyColors val="0"/>
        <c:ser>
          <c:idx val="0"/>
          <c:order val="0"/>
          <c:spPr>
            <a:solidFill>
              <a:schemeClr val="accent2">
                <a:alpha val="55000"/>
              </a:schemeClr>
            </a:solidFill>
            <a:ln w="9525" cap="flat" cmpd="sng" algn="ctr">
              <a:solidFill>
                <a:schemeClr val="accent1">
                  <a:lumMod val="75000"/>
                </a:schemeClr>
              </a:solidFill>
              <a:round/>
            </a:ln>
            <a:effectLst/>
            <a:sp3d contourW="9525">
              <a:contourClr>
                <a:schemeClr val="accent1">
                  <a:lumMod val="75000"/>
                </a:schemeClr>
              </a:contourClr>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numRef>
              <c:f>gráficos!$A$27:$A$31</c:f>
              <c:numCache>
                <c:formatCode>General</c:formatCode>
                <c:ptCount val="5"/>
                <c:pt idx="0">
                  <c:v>2022</c:v>
                </c:pt>
                <c:pt idx="1">
                  <c:v>2023</c:v>
                </c:pt>
                <c:pt idx="2">
                  <c:v>2024</c:v>
                </c:pt>
                <c:pt idx="3">
                  <c:v>2025</c:v>
                </c:pt>
                <c:pt idx="4">
                  <c:v>2026</c:v>
                </c:pt>
              </c:numCache>
            </c:numRef>
          </c:cat>
          <c:val>
            <c:numRef>
              <c:f>gráficos!$B$27:$B$31</c:f>
              <c:numCache>
                <c:formatCode>0.00%</c:formatCode>
                <c:ptCount val="5"/>
                <c:pt idx="0">
                  <c:v>0.63</c:v>
                </c:pt>
                <c:pt idx="1">
                  <c:v>0.61099999999999999</c:v>
                </c:pt>
                <c:pt idx="2">
                  <c:v>0.60699999999999998</c:v>
                </c:pt>
                <c:pt idx="3">
                  <c:v>0.59599999999999997</c:v>
                </c:pt>
                <c:pt idx="4">
                  <c:v>0.58399999999999996</c:v>
                </c:pt>
              </c:numCache>
            </c:numRef>
          </c:val>
          <c:extLst>
            <c:ext xmlns:c16="http://schemas.microsoft.com/office/drawing/2014/chart" uri="{C3380CC4-5D6E-409C-BE32-E72D297353CC}">
              <c16:uniqueId val="{00000000-8EBD-4D68-B850-4A08D0AC035A}"/>
            </c:ext>
          </c:extLst>
        </c:ser>
        <c:dLbls>
          <c:showLegendKey val="0"/>
          <c:showVal val="0"/>
          <c:showCatName val="0"/>
          <c:showSerName val="0"/>
          <c:showPercent val="0"/>
          <c:showBubbleSize val="0"/>
        </c:dLbls>
        <c:gapWidth val="65"/>
        <c:shape val="box"/>
        <c:axId val="1997478304"/>
        <c:axId val="1997463424"/>
        <c:axId val="0"/>
      </c:bar3DChart>
      <c:catAx>
        <c:axId val="19974783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s-CR"/>
          </a:p>
        </c:txPr>
        <c:crossAx val="1997463424"/>
        <c:crosses val="autoZero"/>
        <c:auto val="1"/>
        <c:lblAlgn val="ctr"/>
        <c:lblOffset val="100"/>
        <c:noMultiLvlLbl val="0"/>
      </c:catAx>
      <c:valAx>
        <c:axId val="1997463424"/>
        <c:scaling>
          <c:orientation val="minMax"/>
        </c:scaling>
        <c:delete val="0"/>
        <c:axPos val="l"/>
        <c:majorGridlines>
          <c:spPr>
            <a:ln w="9525" cap="flat" cmpd="sng" algn="ctr">
              <a:solidFill>
                <a:schemeClr val="dk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s-CR"/>
          </a:p>
        </c:txPr>
        <c:crossAx val="19974783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s-CR"/>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0"/>
      <c:rotY val="0"/>
      <c:depthPercent val="60"/>
      <c:rAngAx val="0"/>
      <c:perspective val="100"/>
    </c:view3D>
    <c:floor>
      <c:thickness val="0"/>
      <c:spPr>
        <a:solidFill>
          <a:schemeClr val="lt1">
            <a:lumMod val="95000"/>
          </a:schemeClr>
        </a:solid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spPr>
            <a:solidFill>
              <a:schemeClr val="accent2">
                <a:alpha val="84000"/>
              </a:schemeClr>
            </a:solidFill>
            <a:ln w="9525" cap="flat" cmpd="sng" algn="ctr">
              <a:solidFill>
                <a:schemeClr val="accent1">
                  <a:lumMod val="75000"/>
                </a:schemeClr>
              </a:solidFill>
              <a:round/>
            </a:ln>
            <a:effectLst/>
            <a:sp3d contourW="9525">
              <a:contourClr>
                <a:schemeClr val="accent1">
                  <a:lumMod val="75000"/>
                </a:schemeClr>
              </a:contourClr>
            </a:sp3d>
          </c:spPr>
          <c:invertIfNegative val="0"/>
          <c:dLbls>
            <c:dLbl>
              <c:idx val="0"/>
              <c:layout>
                <c:manualLayout>
                  <c:x val="0"/>
                  <c:y val="0.10185185185185185"/>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DFC0-4709-81A7-D437CBB0BF2D}"/>
                </c:ext>
              </c:extLst>
            </c:dLbl>
            <c:dLbl>
              <c:idx val="1"/>
              <c:layout>
                <c:manualLayout>
                  <c:x val="-5.0925337632079971E-17"/>
                  <c:y val="0.125"/>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DFC0-4709-81A7-D437CBB0BF2D}"/>
                </c:ext>
              </c:extLst>
            </c:dLbl>
            <c:dLbl>
              <c:idx val="2"/>
              <c:layout>
                <c:manualLayout>
                  <c:x val="0"/>
                  <c:y val="0.1435185185185185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DFC0-4709-81A7-D437CBB0BF2D}"/>
                </c:ext>
              </c:extLst>
            </c:dLbl>
            <c:dLbl>
              <c:idx val="3"/>
              <c:layout>
                <c:manualLayout>
                  <c:x val="0"/>
                  <c:y val="0.125"/>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DFC0-4709-81A7-D437CBB0BF2D}"/>
                </c:ext>
              </c:extLst>
            </c:dLbl>
            <c:dLbl>
              <c:idx val="4"/>
              <c:layout>
                <c:manualLayout>
                  <c:x val="0"/>
                  <c:y val="0.10185185185185185"/>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DFC0-4709-81A7-D437CBB0BF2D}"/>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mn-lt"/>
                    <a:ea typeface="+mn-ea"/>
                    <a:cs typeface="+mn-cs"/>
                  </a:defRPr>
                </a:pPr>
                <a:endParaRPr lang="es-C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numRef>
              <c:f>gráficos!$A$45:$A$49</c:f>
              <c:numCache>
                <c:formatCode>General</c:formatCode>
                <c:ptCount val="5"/>
                <c:pt idx="0">
                  <c:v>2024</c:v>
                </c:pt>
                <c:pt idx="1">
                  <c:v>2025</c:v>
                </c:pt>
                <c:pt idx="2">
                  <c:v>2026</c:v>
                </c:pt>
                <c:pt idx="3">
                  <c:v>2027</c:v>
                </c:pt>
                <c:pt idx="4">
                  <c:v>2028</c:v>
                </c:pt>
              </c:numCache>
            </c:numRef>
          </c:cat>
          <c:val>
            <c:numRef>
              <c:f>gráficos!$B$45:$B$49</c:f>
              <c:numCache>
                <c:formatCode>0.00%</c:formatCode>
                <c:ptCount val="5"/>
                <c:pt idx="0">
                  <c:v>3.5299999999999998E-2</c:v>
                </c:pt>
                <c:pt idx="1">
                  <c:v>3.7499999999999999E-2</c:v>
                </c:pt>
                <c:pt idx="2">
                  <c:v>4.9799999999999997E-2</c:v>
                </c:pt>
                <c:pt idx="3">
                  <c:v>5.5300000000000002E-2</c:v>
                </c:pt>
                <c:pt idx="4">
                  <c:v>3.1899999999999998E-2</c:v>
                </c:pt>
              </c:numCache>
            </c:numRef>
          </c:val>
          <c:extLst>
            <c:ext xmlns:c16="http://schemas.microsoft.com/office/drawing/2014/chart" uri="{C3380CC4-5D6E-409C-BE32-E72D297353CC}">
              <c16:uniqueId val="{00000000-DFC0-4709-81A7-D437CBB0BF2D}"/>
            </c:ext>
          </c:extLst>
        </c:ser>
        <c:dLbls>
          <c:showLegendKey val="0"/>
          <c:showVal val="0"/>
          <c:showCatName val="0"/>
          <c:showSerName val="0"/>
          <c:showPercent val="0"/>
          <c:showBubbleSize val="0"/>
        </c:dLbls>
        <c:gapWidth val="65"/>
        <c:shape val="box"/>
        <c:axId val="1997442304"/>
        <c:axId val="1997449024"/>
        <c:axId val="0"/>
      </c:bar3DChart>
      <c:catAx>
        <c:axId val="19974423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s-CR"/>
          </a:p>
        </c:txPr>
        <c:crossAx val="1997449024"/>
        <c:crosses val="autoZero"/>
        <c:auto val="1"/>
        <c:lblAlgn val="ctr"/>
        <c:lblOffset val="100"/>
        <c:noMultiLvlLbl val="0"/>
      </c:catAx>
      <c:valAx>
        <c:axId val="1997449024"/>
        <c:scaling>
          <c:orientation val="minMax"/>
        </c:scaling>
        <c:delete val="0"/>
        <c:axPos val="l"/>
        <c:majorGridlines>
          <c:spPr>
            <a:ln w="9525" cap="flat" cmpd="sng" algn="ctr">
              <a:solidFill>
                <a:schemeClr val="dk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s-CR"/>
          </a:p>
        </c:txPr>
        <c:crossAx val="19974423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s-C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4">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defRPr sz="900" kern="1200">
      <a:effectLst/>
    </cs:defRPr>
  </cs:categoryAxis>
  <cs:chartArea>
    <cs:lnRef idx="0"/>
    <cs:fillRef idx="0"/>
    <cs:effectRef idx="0"/>
    <cs:fontRef idx="minor">
      <a:schemeClr val="dk1"/>
    </cs:fontRef>
    <cs:spPr>
      <a:gradFill flip="none" rotWithShape="1">
        <a:gsLst>
          <a:gs pos="0">
            <a:schemeClr val="lt1"/>
          </a:gs>
          <a:gs pos="68000">
            <a:schemeClr val="lt1">
              <a:lumMod val="85000"/>
            </a:schemeClr>
          </a:gs>
          <a:gs pos="100000">
            <a:schemeClr val="lt1"/>
          </a:gs>
        </a:gsLst>
        <a:lin ang="5400000" scaled="1"/>
        <a:tileRect/>
      </a:gradFill>
      <a:ln w="9525" cap="flat" cmpd="sng" algn="ctr">
        <a:solidFill>
          <a:schemeClr val="dk1">
            <a:lumMod val="15000"/>
            <a:lumOff val="85000"/>
          </a:schemeClr>
        </a:solidFill>
        <a:round/>
      </a:ln>
    </cs:spPr>
    <cs:defRPr sz="1000" kern="1200"/>
  </cs:chartArea>
  <cs:dataLabel>
    <cs:lnRef idx="0"/>
    <cs:fillRef idx="0"/>
    <cs:effectRef idx="0"/>
    <cs:fontRef idx="minor">
      <a:schemeClr val="lt1"/>
    </cs:fontRef>
    <cs:spPr/>
    <cs:defRPr sz="10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1000" b="1" kern="12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
  <cs:dataPoint3D>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3D>
  <cs:dataPointLine>
    <cs:lnRef idx="0">
      <cs:styleClr val="auto"/>
    </cs:lnRef>
    <cs:fillRef idx="0"/>
    <cs:effectRef idx="0"/>
    <cs:fontRef idx="minor">
      <a:schemeClr val="dk1"/>
    </cs:fontRef>
    <cs:spPr>
      <a:ln w="28575" cap="rnd">
        <a:gradFill>
          <a:gsLst>
            <a:gs pos="0">
              <a:schemeClr val="phClr"/>
            </a:gs>
            <a:gs pos="100000">
              <a:schemeClr val="phClr">
                <a:lumMod val="84000"/>
              </a:schemeClr>
            </a:gs>
          </a:gsLst>
          <a:lin ang="5400000" scaled="1"/>
        </a:gradFill>
        <a:round/>
      </a:ln>
    </cs:spPr>
  </cs:dataPointLine>
  <cs:dataPointMarker>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a:solidFill>
          <a:schemeClr val="dk1">
            <a:lumMod val="15000"/>
            <a:lumOff val="85000"/>
          </a:schemeClr>
        </a:solidFill>
      </a:ln>
    </cs:spPr>
    <cs:defRPr sz="900" kern="1200"/>
  </cs:dataTable>
  <cs:downBar>
    <cs:lnRef idx="0"/>
    <cs:fillRef idx="0"/>
    <cs:effectRef idx="0"/>
    <cs:fontRef idx="minor">
      <a:schemeClr val="dk1"/>
    </cs:fontRef>
    <cs:spPr>
      <a:solidFill>
        <a:schemeClr val="dk1">
          <a:lumMod val="35000"/>
          <a:lumOff val="65000"/>
        </a:schemeClr>
      </a:solidFill>
      <a:ln w="9525">
        <a:solidFill>
          <a:schemeClr val="dk1">
            <a:lumMod val="50000"/>
            <a:lumOff val="50000"/>
          </a:schemeClr>
        </a:solidFill>
      </a:ln>
    </cs:spPr>
  </cs:downBar>
  <cs:dropLine>
    <cs:lnRef idx="0"/>
    <cs:fillRef idx="0"/>
    <cs:effectRef idx="0"/>
    <cs:fontRef idx="minor">
      <a:schemeClr val="dk1"/>
    </cs:fontRef>
    <cs:spPr>
      <a:ln w="9525">
        <a:solidFill>
          <a:schemeClr val="dk1">
            <a:lumMod val="50000"/>
            <a:lumOff val="50000"/>
          </a:schemeClr>
        </a:solidFill>
        <a:round/>
      </a:ln>
    </cs:spPr>
  </cs:dropLine>
  <cs:errorBar>
    <cs:lnRef idx="0"/>
    <cs:fillRef idx="0"/>
    <cs:effectRef idx="0"/>
    <cs:fontRef idx="minor">
      <a:schemeClr val="dk1"/>
    </cs:fontRef>
    <cs:spPr>
      <a:ln w="9525">
        <a:solidFill>
          <a:schemeClr val="dk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a:solidFill>
          <a:schemeClr val="dk1">
            <a:lumMod val="5000"/>
            <a:lumOff val="95000"/>
          </a:schemeClr>
        </a:solidFill>
      </a:ln>
    </cs:spPr>
  </cs:gridlineMinor>
  <cs:hiLoLine>
    <cs:lnRef idx="0"/>
    <cs:fillRef idx="0"/>
    <cs:effectRef idx="0"/>
    <cs:fontRef idx="minor">
      <a:schemeClr val="dk1"/>
    </cs:fontRef>
    <cs:spPr>
      <a:ln w="9525">
        <a:solidFill>
          <a:schemeClr val="dk1">
            <a:lumMod val="50000"/>
            <a:lumOff val="50000"/>
          </a:schemeClr>
        </a:solidFill>
        <a:round/>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65000"/>
        <a:lumOff val="35000"/>
      </a:schemeClr>
    </cs:fontRef>
    <cs:defRPr kern="1200">
      <a:effectLst/>
    </cs:defRPr>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lumMod val="95000"/>
        </a:schemeClr>
      </a:solidFill>
      <a:ln w="9525">
        <a:solidFill>
          <a:schemeClr val="dk1">
            <a:lumMod val="15000"/>
            <a:lumOff val="85000"/>
          </a:schemeClr>
        </a:solidFill>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288">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dk1"/>
    </cs:fontRef>
    <cs:spPr>
      <a:solidFill>
        <a:schemeClr val="phClr">
          <a:alpha val="85000"/>
        </a:schemeClr>
      </a:solidFill>
      <a:ln w="9525" cap="flat" cmpd="sng" algn="ctr">
        <a:solidFill>
          <a:schemeClr val="phClr">
            <a:lumMod val="75000"/>
          </a:schemeClr>
        </a:solidFill>
        <a:round/>
      </a:ln>
    </cs:spPr>
  </cs:dataPoint>
  <cs:dataPoint3D>
    <cs:lnRef idx="0">
      <cs:styleClr val="auto"/>
    </cs:lnRef>
    <cs:fillRef idx="0">
      <cs:styleClr val="auto"/>
    </cs:fillRef>
    <cs:effectRef idx="0">
      <cs:styleClr val="auto"/>
    </cs:effectRef>
    <cs:fontRef idx="minor">
      <a:schemeClr val="dk1"/>
    </cs:fontRef>
    <cs:spPr>
      <a:solidFill>
        <a:schemeClr val="phClr">
          <a:alpha val="85000"/>
        </a:schemeClr>
      </a:solidFill>
      <a:ln w="9525" cap="flat" cmpd="sng" algn="ctr">
        <a:solidFill>
          <a:schemeClr val="phClr">
            <a:lumMod val="75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spPr>
      <a:solidFill>
        <a:schemeClr val="lt1">
          <a:lumMod val="95000"/>
        </a:schemeClr>
      </a:solidFill>
      <a:sp3d/>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3.xml><?xml version="1.0" encoding="utf-8"?>
<cs:chartStyle xmlns:cs="http://schemas.microsoft.com/office/drawing/2012/chartStyle" xmlns:a="http://schemas.openxmlformats.org/drawingml/2006/main" id="288">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dk1"/>
    </cs:fontRef>
    <cs:spPr>
      <a:solidFill>
        <a:schemeClr val="phClr">
          <a:alpha val="85000"/>
        </a:schemeClr>
      </a:solidFill>
      <a:ln w="9525" cap="flat" cmpd="sng" algn="ctr">
        <a:solidFill>
          <a:schemeClr val="phClr">
            <a:lumMod val="75000"/>
          </a:schemeClr>
        </a:solidFill>
        <a:round/>
      </a:ln>
    </cs:spPr>
  </cs:dataPoint>
  <cs:dataPoint3D>
    <cs:lnRef idx="0">
      <cs:styleClr val="auto"/>
    </cs:lnRef>
    <cs:fillRef idx="0">
      <cs:styleClr val="auto"/>
    </cs:fillRef>
    <cs:effectRef idx="0">
      <cs:styleClr val="auto"/>
    </cs:effectRef>
    <cs:fontRef idx="minor">
      <a:schemeClr val="dk1"/>
    </cs:fontRef>
    <cs:spPr>
      <a:solidFill>
        <a:schemeClr val="phClr">
          <a:alpha val="85000"/>
        </a:schemeClr>
      </a:solidFill>
      <a:ln w="9525" cap="flat" cmpd="sng" algn="ctr">
        <a:solidFill>
          <a:schemeClr val="phClr">
            <a:lumMod val="75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spPr>
      <a:solidFill>
        <a:schemeClr val="lt1">
          <a:lumMod val="95000"/>
        </a:schemeClr>
      </a:solidFill>
      <a:sp3d/>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0</xdr:colOff>
      <xdr:row>2</xdr:row>
      <xdr:rowOff>87630</xdr:rowOff>
    </xdr:from>
    <xdr:to>
      <xdr:col>5</xdr:col>
      <xdr:colOff>609600</xdr:colOff>
      <xdr:row>21</xdr:row>
      <xdr:rowOff>114300</xdr:rowOff>
    </xdr:to>
    <xdr:graphicFrame macro="">
      <xdr:nvGraphicFramePr>
        <xdr:cNvPr id="2" name="Gráfico 1">
          <a:extLst>
            <a:ext uri="{FF2B5EF4-FFF2-40B4-BE49-F238E27FC236}">
              <a16:creationId xmlns:a16="http://schemas.microsoft.com/office/drawing/2014/main" id="{B968AE8B-6EB5-EB10-D4DE-67F745EBF54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25</xdr:row>
      <xdr:rowOff>34290</xdr:rowOff>
    </xdr:from>
    <xdr:to>
      <xdr:col>5</xdr:col>
      <xdr:colOff>609600</xdr:colOff>
      <xdr:row>41</xdr:row>
      <xdr:rowOff>95250</xdr:rowOff>
    </xdr:to>
    <xdr:graphicFrame macro="">
      <xdr:nvGraphicFramePr>
        <xdr:cNvPr id="3" name="Gráfico 2">
          <a:extLst>
            <a:ext uri="{FF2B5EF4-FFF2-40B4-BE49-F238E27FC236}">
              <a16:creationId xmlns:a16="http://schemas.microsoft.com/office/drawing/2014/main" id="{530C83CA-A1F8-33D1-C4B9-7ACD29C735A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44</xdr:row>
      <xdr:rowOff>3810</xdr:rowOff>
    </xdr:from>
    <xdr:to>
      <xdr:col>5</xdr:col>
      <xdr:colOff>609600</xdr:colOff>
      <xdr:row>60</xdr:row>
      <xdr:rowOff>64770</xdr:rowOff>
    </xdr:to>
    <xdr:graphicFrame macro="">
      <xdr:nvGraphicFramePr>
        <xdr:cNvPr id="4" name="Gráfico 3">
          <a:extLst>
            <a:ext uri="{FF2B5EF4-FFF2-40B4-BE49-F238E27FC236}">
              <a16:creationId xmlns:a16="http://schemas.microsoft.com/office/drawing/2014/main" id="{7B5742AF-3887-2573-1588-2D022FCF105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Milton%20Lacayo%20PGF\OneDrive%20-%20Universidad%20Nacional%20de%20Costa%20Rica\Escritorio\Presupuesto\Presupuesto%20Extraordinario\2025\II%20PEX%202025\II%20presupuesto%20extraordinario%202025%202.xlsx" TargetMode="External"/><Relationship Id="rId1" Type="http://schemas.openxmlformats.org/officeDocument/2006/relationships/externalLinkPath" Target="file:///C:\Users\Milton%20Lacayo%20PGF\OneDrive%20-%20Universidad%20Nacional%20de%20Costa%20Rica\Escritorio\Presupuesto\Presupuesto%20Extraordinario\2025\II%20PEX%202025\II%20presupuesto%20extraordinario%202025%202.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Paula%20G&#243;mez\Documents\A&#241;os%202021%20al%202024\A&#241;o%202024\Regla%20fiscal%202024\revision%20al%201308%20regla%20fiscal.xlsx" TargetMode="External"/><Relationship Id="rId1" Type="http://schemas.openxmlformats.org/officeDocument/2006/relationships/externalLinkPath" Target="file:///C:\Users\Paula%20G&#243;mez\Documents\A&#241;os%202021%20al%202024\A&#241;o%202024\Regla%20fiscal%202024\revision%20al%201308%20regla%20fiscal.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C:\Users\Paula%20G&#243;mez\Documents\A&#241;o%202025\Regla%20fiscal\REgla%20fiscal%202025%20Ronny.xlsx" TargetMode="External"/><Relationship Id="rId1" Type="http://schemas.openxmlformats.org/officeDocument/2006/relationships/externalLinkPath" Target="file:///C:\Users\Paula%20G&#243;mez\Documents\A&#241;o%202025\Regla%20fiscal\REgla%20fiscal%202025%20Ronny.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resumen ori y apli"/>
      <sheetName val="resumen general "/>
      <sheetName val="Hoja3"/>
      <sheetName val="para consolidado REBAJOS"/>
      <sheetName val="Conso.Egre.Neto REBAJOS"/>
      <sheetName val="para consolidado aUMENTOS"/>
      <sheetName val="Conso.Egre.Neto AUMENTOS"/>
      <sheetName val="Conso.Egre.Neto"/>
      <sheetName val="INGRESOS NETO miles)"/>
      <sheetName val="INGRESOS REBAJOS"/>
      <sheetName val="INGRESOS  AUMENTOS"/>
      <sheetName val="origen colones "/>
      <sheetName val="RESUMEN DE INGRESOS gastos"/>
      <sheetName val="Hoja1"/>
      <sheetName val="Hoja2"/>
      <sheetName val="resumen general  (2)"/>
      <sheetName val="origen colones por programa"/>
      <sheetName val="origen y aplicaclasif economico"/>
      <sheetName val="clasificación económica"/>
    </sheetNames>
    <sheetDataSet>
      <sheetData sheetId="0"/>
      <sheetData sheetId="1">
        <row r="14">
          <cell r="N14">
            <v>273000</v>
          </cell>
        </row>
      </sheetData>
      <sheetData sheetId="2"/>
      <sheetData sheetId="3"/>
      <sheetData sheetId="4"/>
      <sheetData sheetId="5"/>
      <sheetData sheetId="6">
        <row r="42">
          <cell r="E42">
            <v>9204822.436999999</v>
          </cell>
          <cell r="F42">
            <v>0</v>
          </cell>
        </row>
        <row r="104">
          <cell r="E104">
            <v>246280316.72999999</v>
          </cell>
          <cell r="F104">
            <v>17048640</v>
          </cell>
          <cell r="G104">
            <v>0</v>
          </cell>
        </row>
        <row r="223">
          <cell r="E223">
            <v>1151614602.1066194</v>
          </cell>
          <cell r="F223">
            <v>281522264.32000005</v>
          </cell>
          <cell r="G223">
            <v>329847269.45999968</v>
          </cell>
        </row>
      </sheetData>
      <sheetData sheetId="7">
        <row r="385">
          <cell r="D385">
            <v>662707.68697000004</v>
          </cell>
        </row>
        <row r="451">
          <cell r="D451">
            <v>0</v>
          </cell>
        </row>
      </sheetData>
      <sheetData sheetId="8"/>
      <sheetData sheetId="9"/>
      <sheetData sheetId="10">
        <row r="55">
          <cell r="C55"/>
        </row>
        <row r="57">
          <cell r="C57">
            <v>273000</v>
          </cell>
        </row>
        <row r="72">
          <cell r="C72">
            <v>27348357.440000001</v>
          </cell>
        </row>
        <row r="79">
          <cell r="D79"/>
        </row>
        <row r="83">
          <cell r="C83">
            <v>1227954727.2296193</v>
          </cell>
        </row>
        <row r="84">
          <cell r="C84">
            <v>507408051.22000003</v>
          </cell>
        </row>
        <row r="86">
          <cell r="G86">
            <v>1762984135.8866191</v>
          </cell>
        </row>
      </sheetData>
      <sheetData sheetId="11">
        <row r="52">
          <cell r="B52" t="str">
            <v>TRANSFERNCIAS CORRIENTES DEL GOBIERNO  CENTRAL</v>
          </cell>
        </row>
        <row r="64">
          <cell r="B64" t="str">
            <v>TRANSFERENCIAS CORR. DE INST. DESCON. NO EMPR</v>
          </cell>
          <cell r="C64">
            <v>273000</v>
          </cell>
        </row>
        <row r="92">
          <cell r="C92">
            <v>27348357.440000001</v>
          </cell>
        </row>
        <row r="164">
          <cell r="I164">
            <v>0</v>
          </cell>
        </row>
        <row r="165">
          <cell r="C165">
            <v>0</v>
          </cell>
        </row>
        <row r="182">
          <cell r="I182">
            <v>273</v>
          </cell>
        </row>
        <row r="205">
          <cell r="I205">
            <v>8931.8224370000007</v>
          </cell>
        </row>
        <row r="206">
          <cell r="I206">
            <v>2278.9349999999999</v>
          </cell>
        </row>
        <row r="207">
          <cell r="I207">
            <v>16137.6</v>
          </cell>
        </row>
        <row r="214">
          <cell r="C214">
            <v>0</v>
          </cell>
        </row>
        <row r="217">
          <cell r="J217">
            <v>261050.02173000004</v>
          </cell>
        </row>
        <row r="219">
          <cell r="B219" t="str">
            <v>SUPERAVIT LIBRE</v>
          </cell>
          <cell r="C219">
            <v>1227954.7272296192</v>
          </cell>
          <cell r="I219">
            <v>565247.04025961913</v>
          </cell>
          <cell r="J219">
            <v>246358.02949000002</v>
          </cell>
        </row>
        <row r="220">
          <cell r="B220" t="str">
            <v>SUPERAVIT ESPECIFICO</v>
          </cell>
          <cell r="D220">
            <v>507408.05122000002</v>
          </cell>
        </row>
      </sheetData>
      <sheetData sheetId="12"/>
      <sheetData sheetId="13">
        <row r="79">
          <cell r="C79">
            <v>662707686.96999991</v>
          </cell>
        </row>
        <row r="83">
          <cell r="H83">
            <v>261050021.73000005</v>
          </cell>
        </row>
        <row r="93">
          <cell r="H93">
            <v>246358029.49000001</v>
          </cell>
        </row>
        <row r="123">
          <cell r="C123">
            <v>565247040.25961912</v>
          </cell>
        </row>
      </sheetData>
      <sheetData sheetId="14"/>
      <sheetData sheetId="15"/>
      <sheetData sheetId="16"/>
      <sheetData sheetId="17"/>
      <sheetData sheetId="1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Hoja1 (3)"/>
      <sheetName val="recursos propios ley 10386"/>
      <sheetName val="Hoja1 (2)"/>
      <sheetName val="Hoja1"/>
    </sheetNames>
    <sheetDataSet>
      <sheetData sheetId="0">
        <row r="162">
          <cell r="F162">
            <v>12550.555190999999</v>
          </cell>
        </row>
        <row r="177">
          <cell r="E177">
            <v>21056430702.82</v>
          </cell>
        </row>
        <row r="180">
          <cell r="E180">
            <v>803200000</v>
          </cell>
        </row>
        <row r="236">
          <cell r="H236">
            <v>686190412.25999999</v>
          </cell>
        </row>
      </sheetData>
      <sheetData sheetId="1"/>
      <sheetData sheetId="2"/>
      <sheetData sheetId="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otal universidad"/>
      <sheetName val="excepcion donaciones"/>
      <sheetName val="excepcion becas"/>
      <sheetName val="excepcion viculo ext"/>
      <sheetName val="excepcion superavit"/>
    </sheetNames>
    <sheetDataSet>
      <sheetData sheetId="0"/>
      <sheetData sheetId="1"/>
      <sheetData sheetId="2"/>
      <sheetData sheetId="3">
        <row r="20">
          <cell r="J20">
            <v>325114309</v>
          </cell>
        </row>
      </sheetData>
      <sheetData sheetId="4">
        <row r="739">
          <cell r="J739">
            <v>14455904968.999996</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F5B6F5-B7B8-4EDD-A3D6-F117CEB4A9D9}">
  <sheetPr>
    <tabColor rgb="FFEE0000"/>
  </sheetPr>
  <dimension ref="A2:C29"/>
  <sheetViews>
    <sheetView showGridLines="0" workbookViewId="0">
      <selection activeCell="C30" sqref="C30"/>
    </sheetView>
  </sheetViews>
  <sheetFormatPr baseColWidth="10" defaultColWidth="11.44140625" defaultRowHeight="13.8" x14ac:dyDescent="0.3"/>
  <cols>
    <col min="1" max="1" width="52" style="1" customWidth="1"/>
    <col min="2" max="2" width="16.77734375" style="2" customWidth="1"/>
    <col min="3" max="3" width="16.44140625" style="2" customWidth="1"/>
    <col min="4" max="4" width="13.21875" style="1" bestFit="1" customWidth="1"/>
    <col min="5" max="16384" width="11.44140625" style="1"/>
  </cols>
  <sheetData>
    <row r="2" spans="1:3" x14ac:dyDescent="0.3">
      <c r="A2" s="211" t="s">
        <v>0</v>
      </c>
      <c r="B2" s="211"/>
    </row>
    <row r="3" spans="1:3" x14ac:dyDescent="0.3">
      <c r="A3" s="211" t="s">
        <v>199</v>
      </c>
      <c r="B3" s="211"/>
    </row>
    <row r="4" spans="1:3" x14ac:dyDescent="0.3">
      <c r="A4" s="211" t="s">
        <v>200</v>
      </c>
      <c r="B4" s="211"/>
    </row>
    <row r="5" spans="1:3" x14ac:dyDescent="0.3">
      <c r="A5" s="212" t="s">
        <v>201</v>
      </c>
      <c r="B5" s="212"/>
    </row>
    <row r="6" spans="1:3" x14ac:dyDescent="0.3">
      <c r="A6" s="129" t="s">
        <v>202</v>
      </c>
      <c r="B6" s="130" t="s">
        <v>203</v>
      </c>
    </row>
    <row r="7" spans="1:3" hidden="1" x14ac:dyDescent="0.3">
      <c r="A7" s="131" t="str">
        <f>+'[1]origen colones '!B52</f>
        <v>TRANSFERNCIAS CORRIENTES DEL GOBIERNO  CENTRAL</v>
      </c>
      <c r="B7" s="132">
        <f>+'[1]origen colones '!C165</f>
        <v>0</v>
      </c>
    </row>
    <row r="8" spans="1:3" x14ac:dyDescent="0.3">
      <c r="A8" s="131" t="str">
        <f>+'[1]origen colones '!B64</f>
        <v>TRANSFERENCIAS CORR. DE INST. DESCON. NO EMPR</v>
      </c>
      <c r="B8" s="132">
        <f>+'[1]origen colones '!C64/1000</f>
        <v>273</v>
      </c>
      <c r="C8" s="133"/>
    </row>
    <row r="9" spans="1:3" hidden="1" x14ac:dyDescent="0.3">
      <c r="A9" s="131" t="s">
        <v>204</v>
      </c>
      <c r="B9" s="132">
        <f>+'[1]origen colones '!C214</f>
        <v>0</v>
      </c>
      <c r="C9" s="133"/>
    </row>
    <row r="10" spans="1:3" x14ac:dyDescent="0.3">
      <c r="A10" s="25" t="s">
        <v>205</v>
      </c>
      <c r="B10" s="132">
        <f>+'[1]origen colones '!C92/1000</f>
        <v>27348.35744</v>
      </c>
      <c r="C10" s="133"/>
    </row>
    <row r="11" spans="1:3" x14ac:dyDescent="0.3">
      <c r="A11" s="131" t="str">
        <f>+'[1]origen colones '!B219</f>
        <v>SUPERAVIT LIBRE</v>
      </c>
      <c r="B11" s="132">
        <f>+'[1]origen colones '!C219</f>
        <v>1227954.7272296192</v>
      </c>
      <c r="C11" s="133"/>
    </row>
    <row r="12" spans="1:3" x14ac:dyDescent="0.3">
      <c r="A12" s="132" t="str">
        <f>+'[1]origen colones '!B220</f>
        <v>SUPERAVIT ESPECIFICO</v>
      </c>
      <c r="B12" s="132">
        <f>+'[1]origen colones '!D220</f>
        <v>507408.05122000002</v>
      </c>
    </row>
    <row r="13" spans="1:3" x14ac:dyDescent="0.3">
      <c r="A13" s="134" t="s">
        <v>206</v>
      </c>
      <c r="B13" s="135">
        <f>SUM(B7:B12)</f>
        <v>1762984.1358896191</v>
      </c>
    </row>
    <row r="16" spans="1:3" x14ac:dyDescent="0.3">
      <c r="A16" s="211" t="s">
        <v>207</v>
      </c>
      <c r="B16" s="211"/>
    </row>
    <row r="18" spans="1:2" x14ac:dyDescent="0.3">
      <c r="A18" s="129" t="s">
        <v>202</v>
      </c>
      <c r="B18" s="130" t="s">
        <v>203</v>
      </c>
    </row>
    <row r="19" spans="1:2" hidden="1" x14ac:dyDescent="0.3">
      <c r="A19" s="136"/>
      <c r="B19" s="137"/>
    </row>
    <row r="20" spans="1:2" x14ac:dyDescent="0.3">
      <c r="A20" s="131" t="s">
        <v>137</v>
      </c>
      <c r="B20" s="132">
        <f>+'[1]origen colones '!I164</f>
        <v>0</v>
      </c>
    </row>
    <row r="21" spans="1:2" x14ac:dyDescent="0.3">
      <c r="A21" s="131" t="s">
        <v>18</v>
      </c>
      <c r="B21" s="132">
        <f>+'[1]origen colones '!I182+'[1]origen colones '!I205</f>
        <v>9204.8224370000007</v>
      </c>
    </row>
    <row r="22" spans="1:2" x14ac:dyDescent="0.3">
      <c r="A22" s="131" t="s">
        <v>208</v>
      </c>
      <c r="B22" s="132">
        <f>+'[1]origen colones '!I206+'[1]origen colones '!J217</f>
        <v>263328.95673000003</v>
      </c>
    </row>
    <row r="23" spans="1:2" x14ac:dyDescent="0.3">
      <c r="A23" s="131" t="s">
        <v>209</v>
      </c>
      <c r="B23" s="132">
        <f>+'[1]Conso.Egre.Neto'!D385</f>
        <v>662707.68697000004</v>
      </c>
    </row>
    <row r="24" spans="1:2" x14ac:dyDescent="0.3">
      <c r="A24" s="131" t="s">
        <v>22</v>
      </c>
      <c r="B24" s="132">
        <f>+'[1]origen colones '!I219+'[1]origen colones '!J219</f>
        <v>811605.06974961911</v>
      </c>
    </row>
    <row r="25" spans="1:2" x14ac:dyDescent="0.3">
      <c r="A25" s="131" t="s">
        <v>210</v>
      </c>
      <c r="B25" s="132">
        <f>+'[1]origen colones '!I207</f>
        <v>16137.6</v>
      </c>
    </row>
    <row r="26" spans="1:2" hidden="1" x14ac:dyDescent="0.3">
      <c r="A26" s="131" t="s">
        <v>211</v>
      </c>
      <c r="B26" s="132">
        <f>+'[1]Conso.Egre.Neto'!D451</f>
        <v>0</v>
      </c>
    </row>
    <row r="27" spans="1:2" x14ac:dyDescent="0.3">
      <c r="A27" s="134" t="s">
        <v>212</v>
      </c>
      <c r="B27" s="135">
        <f>SUM(B20:B26)</f>
        <v>1762984.1358866193</v>
      </c>
    </row>
    <row r="29" spans="1:2" x14ac:dyDescent="0.3">
      <c r="B29" s="2">
        <f>+B13-B27</f>
        <v>2.9997900128364563E-6</v>
      </c>
    </row>
  </sheetData>
  <mergeCells count="5">
    <mergeCell ref="A2:B2"/>
    <mergeCell ref="A3:B3"/>
    <mergeCell ref="A4:B4"/>
    <mergeCell ref="A5:B5"/>
    <mergeCell ref="A16:B16"/>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3F1962-695E-4194-B3E3-9899EAB133CC}">
  <sheetPr>
    <tabColor rgb="FFEE0000"/>
  </sheetPr>
  <dimension ref="A1:B24"/>
  <sheetViews>
    <sheetView workbookViewId="0">
      <selection activeCell="A21" sqref="A21:XFD21"/>
    </sheetView>
  </sheetViews>
  <sheetFormatPr baseColWidth="10" defaultRowHeight="13.2" x14ac:dyDescent="0.25"/>
  <cols>
    <col min="1" max="1" width="52.5546875" customWidth="1"/>
    <col min="2" max="2" width="12.6640625" bestFit="1" customWidth="1"/>
    <col min="3" max="3" width="10.109375" bestFit="1" customWidth="1"/>
  </cols>
  <sheetData>
    <row r="1" spans="1:2" x14ac:dyDescent="0.25">
      <c r="A1" s="213" t="s">
        <v>217</v>
      </c>
      <c r="B1" s="213"/>
    </row>
    <row r="2" spans="1:2" x14ac:dyDescent="0.25">
      <c r="A2" s="213" t="s">
        <v>216</v>
      </c>
      <c r="B2" s="213"/>
    </row>
    <row r="3" spans="1:2" x14ac:dyDescent="0.25">
      <c r="A3" s="213" t="s">
        <v>218</v>
      </c>
      <c r="B3" s="213"/>
    </row>
    <row r="4" spans="1:2" x14ac:dyDescent="0.25">
      <c r="A4" s="139" t="s">
        <v>202</v>
      </c>
      <c r="B4" s="139" t="s">
        <v>203</v>
      </c>
    </row>
    <row r="5" spans="1:2" x14ac:dyDescent="0.25">
      <c r="A5" t="s">
        <v>213</v>
      </c>
      <c r="B5" s="138">
        <v>19240833.829999998</v>
      </c>
    </row>
    <row r="6" spans="1:2" x14ac:dyDescent="0.25">
      <c r="A6" t="s">
        <v>214</v>
      </c>
      <c r="B6" s="138">
        <v>20468788.559999999</v>
      </c>
    </row>
    <row r="7" spans="1:2" x14ac:dyDescent="0.25">
      <c r="A7" s="139" t="s">
        <v>215</v>
      </c>
      <c r="B7" s="140">
        <v>1227954.73</v>
      </c>
    </row>
    <row r="9" spans="1:2" x14ac:dyDescent="0.25">
      <c r="A9" s="213" t="s">
        <v>217</v>
      </c>
      <c r="B9" s="213"/>
    </row>
    <row r="10" spans="1:2" x14ac:dyDescent="0.25">
      <c r="A10" s="213" t="s">
        <v>221</v>
      </c>
      <c r="B10" s="213"/>
    </row>
    <row r="11" spans="1:2" x14ac:dyDescent="0.25">
      <c r="A11" s="213" t="s">
        <v>218</v>
      </c>
      <c r="B11" s="213"/>
    </row>
    <row r="12" spans="1:2" x14ac:dyDescent="0.25">
      <c r="A12" s="139" t="s">
        <v>202</v>
      </c>
      <c r="B12" s="139" t="s">
        <v>203</v>
      </c>
    </row>
    <row r="13" spans="1:2" x14ac:dyDescent="0.25">
      <c r="A13" t="s">
        <v>219</v>
      </c>
      <c r="B13" s="138">
        <v>1186102.4099999999</v>
      </c>
    </row>
    <row r="14" spans="1:2" x14ac:dyDescent="0.25">
      <c r="A14" t="s">
        <v>220</v>
      </c>
      <c r="B14" s="138">
        <v>1693510.46</v>
      </c>
    </row>
    <row r="15" spans="1:2" x14ac:dyDescent="0.25">
      <c r="A15" s="139" t="s">
        <v>215</v>
      </c>
      <c r="B15" s="140">
        <v>507408.05</v>
      </c>
    </row>
    <row r="17" spans="1:2" x14ac:dyDescent="0.25">
      <c r="A17" s="213" t="s">
        <v>227</v>
      </c>
      <c r="B17" s="213"/>
    </row>
    <row r="18" spans="1:2" x14ac:dyDescent="0.25">
      <c r="A18" s="213" t="s">
        <v>226</v>
      </c>
      <c r="B18" s="213"/>
    </row>
    <row r="19" spans="1:2" x14ac:dyDescent="0.25">
      <c r="A19" s="213" t="s">
        <v>201</v>
      </c>
      <c r="B19" s="213"/>
    </row>
    <row r="20" spans="1:2" x14ac:dyDescent="0.25">
      <c r="A20" s="139" t="s">
        <v>202</v>
      </c>
      <c r="B20" s="139" t="s">
        <v>203</v>
      </c>
    </row>
    <row r="21" spans="1:2" x14ac:dyDescent="0.25">
      <c r="A21" t="s">
        <v>222</v>
      </c>
      <c r="B21" s="138">
        <v>224960.96</v>
      </c>
    </row>
    <row r="22" spans="1:2" x14ac:dyDescent="0.25">
      <c r="A22" t="s">
        <v>223</v>
      </c>
      <c r="B22" s="138">
        <v>150099.16</v>
      </c>
    </row>
    <row r="23" spans="1:2" x14ac:dyDescent="0.25">
      <c r="A23" t="s">
        <v>224</v>
      </c>
      <c r="B23" s="138">
        <v>132347.93</v>
      </c>
    </row>
    <row r="24" spans="1:2" x14ac:dyDescent="0.25">
      <c r="A24" s="139" t="s">
        <v>225</v>
      </c>
      <c r="B24" s="140">
        <v>507408.05</v>
      </c>
    </row>
  </sheetData>
  <mergeCells count="9">
    <mergeCell ref="A17:B17"/>
    <mergeCell ref="A18:B18"/>
    <mergeCell ref="A19:B19"/>
    <mergeCell ref="A1:B1"/>
    <mergeCell ref="A2:B2"/>
    <mergeCell ref="A3:B3"/>
    <mergeCell ref="A11:B11"/>
    <mergeCell ref="A10:B10"/>
    <mergeCell ref="A9:B9"/>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E3E1DA-D7AB-4D9D-8FD1-765575F93AA0}">
  <sheetPr>
    <tabColor rgb="FFEE0000"/>
  </sheetPr>
  <dimension ref="A1:J115"/>
  <sheetViews>
    <sheetView workbookViewId="0">
      <selection activeCell="M96" sqref="M96"/>
    </sheetView>
  </sheetViews>
  <sheetFormatPr baseColWidth="10" defaultRowHeight="13.2" x14ac:dyDescent="0.25"/>
  <cols>
    <col min="1" max="1" width="24.33203125" customWidth="1"/>
  </cols>
  <sheetData>
    <row r="1" spans="1:10" ht="21" x14ac:dyDescent="0.4">
      <c r="A1" s="234" t="s">
        <v>326</v>
      </c>
      <c r="B1" s="235"/>
      <c r="C1" s="235"/>
      <c r="D1" s="235"/>
      <c r="E1" s="235"/>
      <c r="F1" s="235"/>
      <c r="G1" s="235"/>
      <c r="H1" s="235"/>
      <c r="I1" s="235"/>
      <c r="J1" s="235"/>
    </row>
    <row r="2" spans="1:10" ht="15.6" x14ac:dyDescent="0.3">
      <c r="A2" s="236" t="s">
        <v>327</v>
      </c>
      <c r="B2" s="237"/>
      <c r="C2" s="237"/>
      <c r="D2" s="237"/>
      <c r="E2" s="237"/>
      <c r="F2" s="237"/>
      <c r="G2" s="237"/>
      <c r="H2" s="237"/>
      <c r="I2" s="237"/>
      <c r="J2" s="237"/>
    </row>
    <row r="3" spans="1:10" ht="13.8" x14ac:dyDescent="0.3">
      <c r="A3" s="238" t="s">
        <v>328</v>
      </c>
      <c r="B3" s="239"/>
      <c r="C3" s="239"/>
      <c r="D3" s="239"/>
      <c r="E3" s="239"/>
      <c r="F3" s="239"/>
      <c r="G3" s="239"/>
      <c r="H3" s="239"/>
      <c r="I3" s="239"/>
      <c r="J3" s="239"/>
    </row>
    <row r="4" spans="1:10" ht="15.6" x14ac:dyDescent="0.3">
      <c r="A4" s="236" t="s">
        <v>329</v>
      </c>
      <c r="B4" s="237"/>
      <c r="C4" s="237"/>
      <c r="D4" s="237"/>
      <c r="E4" s="237"/>
      <c r="F4" s="237"/>
      <c r="G4" s="237"/>
      <c r="H4" s="237"/>
      <c r="I4" s="237"/>
      <c r="J4" s="237"/>
    </row>
    <row r="5" spans="1:10" ht="13.8" x14ac:dyDescent="0.3">
      <c r="A5" s="240" t="s">
        <v>330</v>
      </c>
      <c r="B5" s="241"/>
      <c r="C5" s="241"/>
      <c r="D5" s="241"/>
      <c r="E5" s="241"/>
      <c r="F5" s="241"/>
      <c r="G5" s="241"/>
      <c r="H5" s="241"/>
      <c r="I5" s="241"/>
      <c r="J5" s="241"/>
    </row>
    <row r="6" spans="1:10" ht="15.6" x14ac:dyDescent="0.3">
      <c r="A6" s="236"/>
      <c r="B6" s="237"/>
      <c r="C6" s="237"/>
      <c r="D6" s="237"/>
      <c r="E6" s="237"/>
      <c r="F6" s="237"/>
      <c r="G6" s="237"/>
      <c r="H6" s="237"/>
      <c r="I6" s="237"/>
      <c r="J6" s="237"/>
    </row>
    <row r="7" spans="1:10" ht="13.8" x14ac:dyDescent="0.3">
      <c r="A7" s="193"/>
      <c r="B7" s="193"/>
      <c r="C7" s="193"/>
      <c r="D7" s="193"/>
      <c r="E7" s="193"/>
      <c r="F7" s="193"/>
      <c r="G7" s="193"/>
      <c r="H7" s="193"/>
      <c r="I7" s="193"/>
      <c r="J7" s="193"/>
    </row>
    <row r="8" spans="1:10" ht="14.4" x14ac:dyDescent="0.3">
      <c r="A8" s="194" t="s">
        <v>331</v>
      </c>
      <c r="B8" s="229" t="s">
        <v>332</v>
      </c>
      <c r="C8" s="229"/>
      <c r="D8" s="229"/>
      <c r="E8" s="229"/>
      <c r="F8" s="193"/>
      <c r="G8" s="193"/>
      <c r="H8" s="193"/>
      <c r="I8" s="193"/>
      <c r="J8" s="193"/>
    </row>
    <row r="9" spans="1:10" ht="13.8" x14ac:dyDescent="0.3">
      <c r="A9" s="193"/>
      <c r="B9" s="193"/>
      <c r="C9" s="193"/>
      <c r="D9" s="193"/>
      <c r="E9" s="193"/>
      <c r="F9" s="193"/>
      <c r="G9" s="193"/>
      <c r="H9" s="193"/>
      <c r="I9" s="193"/>
      <c r="J9" s="193"/>
    </row>
    <row r="10" spans="1:10" ht="18" x14ac:dyDescent="0.35">
      <c r="A10" s="230" t="s">
        <v>333</v>
      </c>
      <c r="B10" s="230"/>
      <c r="C10" s="230"/>
      <c r="D10" s="230"/>
      <c r="E10" s="230"/>
      <c r="F10" s="193"/>
      <c r="G10" s="193"/>
      <c r="H10" s="193"/>
      <c r="I10" s="193"/>
      <c r="J10" s="193"/>
    </row>
    <row r="11" spans="1:10" ht="14.4" x14ac:dyDescent="0.3">
      <c r="A11" s="195" t="s">
        <v>334</v>
      </c>
      <c r="B11" s="196">
        <v>2025</v>
      </c>
      <c r="C11" s="196">
        <v>2026</v>
      </c>
      <c r="D11" s="196">
        <v>2027</v>
      </c>
      <c r="E11" s="196">
        <v>2028</v>
      </c>
      <c r="F11" s="193"/>
      <c r="G11" s="193"/>
      <c r="H11" s="193"/>
      <c r="I11" s="193"/>
      <c r="J11" s="193"/>
    </row>
    <row r="12" spans="1:10" ht="13.8" x14ac:dyDescent="0.3">
      <c r="A12" s="197" t="s">
        <v>335</v>
      </c>
      <c r="B12" s="198">
        <f>SUM(B13:B26)</f>
        <v>129223.13452025001</v>
      </c>
      <c r="C12" s="198">
        <f t="shared" ref="C12:E12" si="0">SUM(C13:C26)</f>
        <v>128334.27681195</v>
      </c>
      <c r="D12" s="198">
        <f t="shared" si="0"/>
        <v>128219.84646795</v>
      </c>
      <c r="E12" s="198">
        <f t="shared" si="0"/>
        <v>128853.71153995</v>
      </c>
      <c r="F12" s="193"/>
      <c r="G12" s="193"/>
      <c r="H12" s="193"/>
      <c r="I12" s="193"/>
      <c r="J12" s="193"/>
    </row>
    <row r="13" spans="1:10" ht="41.4" x14ac:dyDescent="0.3">
      <c r="A13" s="199" t="s">
        <v>336</v>
      </c>
      <c r="B13" s="200"/>
      <c r="C13" s="200"/>
      <c r="D13" s="200"/>
      <c r="E13" s="200"/>
      <c r="F13" s="193"/>
      <c r="G13" s="193"/>
      <c r="H13" s="193"/>
      <c r="I13" s="193"/>
      <c r="J13" s="193"/>
    </row>
    <row r="14" spans="1:10" ht="41.4" x14ac:dyDescent="0.3">
      <c r="A14" s="201" t="s">
        <v>337</v>
      </c>
      <c r="B14" s="200"/>
      <c r="C14" s="200"/>
      <c r="D14" s="200"/>
      <c r="E14" s="200"/>
      <c r="F14" s="193"/>
      <c r="G14" s="193"/>
      <c r="H14" s="193"/>
      <c r="I14" s="193"/>
      <c r="J14" s="193"/>
    </row>
    <row r="15" spans="1:10" ht="41.4" x14ac:dyDescent="0.3">
      <c r="A15" s="201" t="s">
        <v>338</v>
      </c>
      <c r="B15" s="200"/>
      <c r="C15" s="200"/>
      <c r="D15" s="200"/>
      <c r="E15" s="200"/>
      <c r="F15" s="193"/>
      <c r="G15" s="193"/>
      <c r="H15" s="193"/>
      <c r="I15" s="193"/>
      <c r="J15" s="193"/>
    </row>
    <row r="16" spans="1:10" ht="69" x14ac:dyDescent="0.3">
      <c r="A16" s="201" t="s">
        <v>339</v>
      </c>
      <c r="B16" s="200"/>
      <c r="C16" s="200"/>
      <c r="D16" s="200"/>
      <c r="E16" s="200"/>
      <c r="F16" s="193"/>
      <c r="G16" s="193"/>
      <c r="H16" s="193"/>
      <c r="I16" s="193"/>
      <c r="J16" s="193"/>
    </row>
    <row r="17" spans="1:10" ht="27.6" x14ac:dyDescent="0.3">
      <c r="A17" s="201" t="s">
        <v>340</v>
      </c>
      <c r="B17" s="200">
        <v>1</v>
      </c>
      <c r="C17" s="200">
        <v>1</v>
      </c>
      <c r="D17" s="200">
        <v>1</v>
      </c>
      <c r="E17" s="200">
        <v>1</v>
      </c>
      <c r="F17" s="193"/>
      <c r="G17" s="193"/>
      <c r="H17" s="193"/>
      <c r="I17" s="193"/>
      <c r="J17" s="193"/>
    </row>
    <row r="18" spans="1:10" ht="41.4" x14ac:dyDescent="0.3">
      <c r="A18" s="201" t="s">
        <v>341</v>
      </c>
      <c r="B18" s="200"/>
      <c r="C18" s="200"/>
      <c r="D18" s="200"/>
      <c r="E18" s="200"/>
      <c r="F18" s="193"/>
      <c r="G18" s="193"/>
      <c r="H18" s="193"/>
      <c r="I18" s="193"/>
      <c r="J18" s="193"/>
    </row>
    <row r="19" spans="1:10" ht="27.6" x14ac:dyDescent="0.3">
      <c r="A19" s="201" t="s">
        <v>342</v>
      </c>
      <c r="B19" s="200">
        <v>2340.9526510000001</v>
      </c>
      <c r="C19" s="200">
        <v>2323.640531</v>
      </c>
      <c r="D19" s="200">
        <v>2341.1641300000001</v>
      </c>
      <c r="E19" s="200">
        <v>2354.7381249999999</v>
      </c>
      <c r="F19" s="193"/>
      <c r="G19" s="193"/>
      <c r="H19" s="193"/>
      <c r="I19" s="193"/>
      <c r="J19" s="193"/>
    </row>
    <row r="20" spans="1:10" ht="27.6" x14ac:dyDescent="0.3">
      <c r="A20" s="201" t="s">
        <v>343</v>
      </c>
      <c r="B20" s="200">
        <v>2986.222503</v>
      </c>
      <c r="C20" s="200">
        <v>1472.27061</v>
      </c>
      <c r="D20" s="200">
        <v>845.36079800000005</v>
      </c>
      <c r="E20" s="200">
        <v>218.63646199999999</v>
      </c>
      <c r="F20" s="193"/>
      <c r="G20" s="193"/>
      <c r="H20" s="193"/>
      <c r="I20" s="193"/>
      <c r="J20" s="193"/>
    </row>
    <row r="21" spans="1:10" ht="41.4" x14ac:dyDescent="0.3">
      <c r="A21" s="201" t="s">
        <v>344</v>
      </c>
      <c r="B21" s="200">
        <v>3.188374</v>
      </c>
      <c r="C21" s="200">
        <v>3.1793010000000002</v>
      </c>
      <c r="D21" s="200">
        <v>3.1702539999999999</v>
      </c>
      <c r="E21" s="200">
        <v>3.161232</v>
      </c>
      <c r="F21" s="193"/>
      <c r="G21" s="193"/>
      <c r="H21" s="193"/>
      <c r="I21" s="193"/>
      <c r="J21" s="193"/>
    </row>
    <row r="22" spans="1:10" ht="27.6" x14ac:dyDescent="0.3">
      <c r="A22" s="201" t="s">
        <v>345</v>
      </c>
      <c r="B22" s="200"/>
      <c r="C22" s="200"/>
      <c r="D22" s="200"/>
      <c r="E22" s="200"/>
      <c r="F22" s="193"/>
      <c r="G22" s="193"/>
      <c r="H22" s="193"/>
      <c r="I22" s="193"/>
      <c r="J22" s="193"/>
    </row>
    <row r="23" spans="1:10" ht="27.6" x14ac:dyDescent="0.3">
      <c r="A23" s="201" t="s">
        <v>346</v>
      </c>
      <c r="B23" s="200">
        <v>182.443579</v>
      </c>
      <c r="C23" s="200">
        <v>168.90613500000001</v>
      </c>
      <c r="D23" s="200">
        <v>170.21704299999999</v>
      </c>
      <c r="E23" s="200">
        <v>164.30478600000001</v>
      </c>
      <c r="F23" s="193"/>
      <c r="G23" s="193"/>
      <c r="H23" s="193"/>
      <c r="I23" s="193"/>
      <c r="J23" s="193"/>
    </row>
    <row r="24" spans="1:10" ht="55.2" x14ac:dyDescent="0.3">
      <c r="A24" s="201" t="s">
        <v>347</v>
      </c>
      <c r="B24" s="200">
        <v>123222.22945100001</v>
      </c>
      <c r="C24" s="200">
        <v>124123.68023494999</v>
      </c>
      <c r="D24" s="200">
        <v>124838.93424295</v>
      </c>
      <c r="E24" s="200">
        <v>126091.87093495</v>
      </c>
      <c r="F24" s="193"/>
      <c r="G24" s="193"/>
      <c r="H24" s="193"/>
      <c r="I24" s="193"/>
      <c r="J24" s="193"/>
    </row>
    <row r="25" spans="1:10" ht="55.2" x14ac:dyDescent="0.3">
      <c r="A25" s="201" t="s">
        <v>348</v>
      </c>
      <c r="B25" s="200"/>
      <c r="C25" s="200"/>
      <c r="D25" s="200"/>
      <c r="E25" s="200"/>
      <c r="F25" s="193"/>
      <c r="G25" s="193"/>
      <c r="H25" s="193"/>
      <c r="I25" s="193"/>
      <c r="J25" s="193"/>
    </row>
    <row r="26" spans="1:10" ht="55.2" x14ac:dyDescent="0.3">
      <c r="A26" s="201" t="s">
        <v>349</v>
      </c>
      <c r="B26" s="200">
        <v>487.09796225000002</v>
      </c>
      <c r="C26" s="200">
        <v>241.6</v>
      </c>
      <c r="D26" s="200">
        <v>20</v>
      </c>
      <c r="E26" s="200">
        <v>20</v>
      </c>
      <c r="F26" s="193"/>
      <c r="G26" s="193"/>
      <c r="H26" s="193"/>
      <c r="I26" s="193"/>
      <c r="J26" s="193"/>
    </row>
    <row r="27" spans="1:10" ht="13.8" x14ac:dyDescent="0.3">
      <c r="A27" s="197" t="s">
        <v>350</v>
      </c>
      <c r="B27" s="198">
        <f>SUM(B28:B40)</f>
        <v>22997.349973</v>
      </c>
      <c r="C27" s="198">
        <f t="shared" ref="C27:E27" si="1">SUM(C28:C40)</f>
        <v>26581.934479999996</v>
      </c>
      <c r="D27" s="198">
        <f t="shared" si="1"/>
        <v>16456.329732999999</v>
      </c>
      <c r="E27" s="198">
        <f t="shared" si="1"/>
        <v>2474.7233999999999</v>
      </c>
      <c r="F27" s="193"/>
      <c r="G27" s="193"/>
      <c r="H27" s="193"/>
      <c r="I27" s="193"/>
      <c r="J27" s="193"/>
    </row>
    <row r="28" spans="1:10" ht="27.6" x14ac:dyDescent="0.3">
      <c r="A28" s="202" t="s">
        <v>351</v>
      </c>
      <c r="B28" s="200"/>
      <c r="C28" s="200"/>
      <c r="D28" s="200"/>
      <c r="E28" s="200"/>
      <c r="F28" s="193"/>
      <c r="G28" s="193"/>
      <c r="H28" s="193"/>
      <c r="I28" s="193"/>
      <c r="J28" s="193"/>
    </row>
    <row r="29" spans="1:10" ht="27.6" x14ac:dyDescent="0.3">
      <c r="A29" s="202" t="s">
        <v>352</v>
      </c>
      <c r="B29" s="200"/>
      <c r="C29" s="200"/>
      <c r="D29" s="200"/>
      <c r="E29" s="200"/>
      <c r="F29" s="193"/>
      <c r="G29" s="193"/>
      <c r="H29" s="193"/>
      <c r="I29" s="193"/>
      <c r="J29" s="193"/>
    </row>
    <row r="30" spans="1:10" ht="27.6" x14ac:dyDescent="0.3">
      <c r="A30" s="202" t="s">
        <v>353</v>
      </c>
      <c r="B30" s="200"/>
      <c r="C30" s="200"/>
      <c r="D30" s="200"/>
      <c r="E30" s="200"/>
      <c r="F30" s="193"/>
      <c r="G30" s="193"/>
      <c r="H30" s="193"/>
      <c r="I30" s="193"/>
      <c r="J30" s="193"/>
    </row>
    <row r="31" spans="1:10" ht="27.6" x14ac:dyDescent="0.3">
      <c r="A31" s="202" t="s">
        <v>354</v>
      </c>
      <c r="B31" s="200"/>
      <c r="C31" s="200"/>
      <c r="D31" s="200"/>
      <c r="E31" s="200"/>
      <c r="F31" s="193"/>
      <c r="G31" s="193"/>
      <c r="H31" s="193"/>
      <c r="I31" s="193"/>
      <c r="J31" s="193"/>
    </row>
    <row r="32" spans="1:10" ht="27.6" x14ac:dyDescent="0.3">
      <c r="A32" s="202" t="s">
        <v>355</v>
      </c>
      <c r="B32" s="200"/>
      <c r="C32" s="200"/>
      <c r="D32" s="200"/>
      <c r="E32" s="200"/>
      <c r="F32" s="193"/>
      <c r="G32" s="193"/>
      <c r="H32" s="193"/>
      <c r="I32" s="193"/>
      <c r="J32" s="193"/>
    </row>
    <row r="33" spans="1:10" ht="55.2" x14ac:dyDescent="0.3">
      <c r="A33" s="202" t="s">
        <v>356</v>
      </c>
      <c r="B33" s="200"/>
      <c r="C33" s="200"/>
      <c r="D33" s="200"/>
      <c r="E33" s="200"/>
      <c r="F33" s="193"/>
      <c r="G33" s="193"/>
      <c r="H33" s="193"/>
      <c r="I33" s="193"/>
      <c r="J33" s="193"/>
    </row>
    <row r="34" spans="1:10" ht="55.2" x14ac:dyDescent="0.3">
      <c r="A34" s="202" t="s">
        <v>357</v>
      </c>
      <c r="B34" s="200"/>
      <c r="C34" s="200"/>
      <c r="D34" s="200"/>
      <c r="E34" s="200"/>
      <c r="F34" s="193"/>
      <c r="G34" s="193"/>
      <c r="H34" s="193"/>
      <c r="I34" s="193"/>
      <c r="J34" s="193"/>
    </row>
    <row r="35" spans="1:10" ht="55.2" x14ac:dyDescent="0.3">
      <c r="A35" s="202" t="s">
        <v>358</v>
      </c>
      <c r="B35" s="200"/>
      <c r="C35" s="200"/>
      <c r="D35" s="200"/>
      <c r="E35" s="200"/>
      <c r="F35" s="193"/>
      <c r="G35" s="193"/>
      <c r="H35" s="193"/>
      <c r="I35" s="193"/>
      <c r="J35" s="193"/>
    </row>
    <row r="36" spans="1:10" ht="41.4" x14ac:dyDescent="0.3">
      <c r="A36" s="202" t="s">
        <v>359</v>
      </c>
      <c r="B36" s="200">
        <v>20522.626573000001</v>
      </c>
      <c r="C36" s="200">
        <v>24107.211079999997</v>
      </c>
      <c r="D36" s="200">
        <v>13981.606333</v>
      </c>
      <c r="E36" s="200">
        <v>0</v>
      </c>
      <c r="F36" s="193"/>
      <c r="G36" s="193"/>
      <c r="H36" s="193"/>
      <c r="I36" s="193"/>
      <c r="J36" s="193"/>
    </row>
    <row r="37" spans="1:10" ht="41.4" x14ac:dyDescent="0.3">
      <c r="A37" s="202" t="s">
        <v>360</v>
      </c>
      <c r="B37" s="200">
        <v>2474.7233999999999</v>
      </c>
      <c r="C37" s="200">
        <v>2474.7233999999999</v>
      </c>
      <c r="D37" s="200">
        <v>2474.7233999999999</v>
      </c>
      <c r="E37" s="200">
        <v>2474.7233999999999</v>
      </c>
      <c r="F37" s="193"/>
      <c r="G37" s="193"/>
      <c r="H37" s="193"/>
      <c r="I37" s="193"/>
      <c r="J37" s="193"/>
    </row>
    <row r="38" spans="1:10" ht="41.4" x14ac:dyDescent="0.3">
      <c r="A38" s="202" t="s">
        <v>361</v>
      </c>
      <c r="B38" s="200"/>
      <c r="C38" s="200"/>
      <c r="D38" s="200"/>
      <c r="E38" s="200"/>
      <c r="F38" s="193"/>
      <c r="G38" s="193"/>
      <c r="H38" s="193"/>
      <c r="I38" s="193"/>
      <c r="J38" s="193"/>
    </row>
    <row r="39" spans="1:10" ht="41.4" x14ac:dyDescent="0.3">
      <c r="A39" s="202" t="s">
        <v>362</v>
      </c>
      <c r="B39" s="200"/>
      <c r="C39" s="200"/>
      <c r="D39" s="200"/>
      <c r="E39" s="200"/>
      <c r="F39" s="193"/>
      <c r="G39" s="193"/>
      <c r="H39" s="193"/>
      <c r="I39" s="193"/>
      <c r="J39" s="193"/>
    </row>
    <row r="40" spans="1:10" ht="27.6" x14ac:dyDescent="0.3">
      <c r="A40" s="202" t="s">
        <v>363</v>
      </c>
      <c r="B40" s="200"/>
      <c r="C40" s="200"/>
      <c r="D40" s="200"/>
      <c r="E40" s="200"/>
      <c r="F40" s="193"/>
      <c r="G40" s="193"/>
      <c r="H40" s="193"/>
      <c r="I40" s="193"/>
      <c r="J40" s="193"/>
    </row>
    <row r="41" spans="1:10" ht="13.8" x14ac:dyDescent="0.3">
      <c r="A41" s="197" t="s">
        <v>364</v>
      </c>
      <c r="B41" s="198">
        <f>SUM(B42:B50)</f>
        <v>20426.933827879999</v>
      </c>
      <c r="C41" s="198">
        <f t="shared" ref="C41:E41" si="2">SUM(C42:C50)</f>
        <v>11448.862357</v>
      </c>
      <c r="D41" s="198">
        <f t="shared" si="2"/>
        <v>11448.862357</v>
      </c>
      <c r="E41" s="198">
        <f t="shared" si="2"/>
        <v>11448.862357</v>
      </c>
      <c r="F41" s="193"/>
      <c r="G41" s="193"/>
      <c r="H41" s="193"/>
      <c r="I41" s="193"/>
      <c r="J41" s="193"/>
    </row>
    <row r="42" spans="1:10" ht="27.6" x14ac:dyDescent="0.3">
      <c r="A42" s="202" t="s">
        <v>365</v>
      </c>
      <c r="B42" s="200"/>
      <c r="C42" s="200"/>
      <c r="D42" s="200"/>
      <c r="E42" s="200"/>
      <c r="F42" s="193"/>
      <c r="G42" s="193"/>
      <c r="H42" s="193"/>
      <c r="I42" s="193"/>
      <c r="J42" s="193"/>
    </row>
    <row r="43" spans="1:10" ht="41.4" x14ac:dyDescent="0.3">
      <c r="A43" s="202" t="s">
        <v>366</v>
      </c>
      <c r="B43" s="200"/>
      <c r="C43" s="200"/>
      <c r="D43" s="200"/>
      <c r="E43" s="200"/>
      <c r="F43" s="193"/>
      <c r="G43" s="193"/>
      <c r="H43" s="193"/>
      <c r="I43" s="193"/>
      <c r="J43" s="193"/>
    </row>
    <row r="44" spans="1:10" ht="41.4" x14ac:dyDescent="0.3">
      <c r="A44" s="202" t="s">
        <v>367</v>
      </c>
      <c r="B44" s="200"/>
      <c r="C44" s="200"/>
      <c r="D44" s="200"/>
      <c r="E44" s="200"/>
      <c r="F44" s="193"/>
      <c r="G44" s="193"/>
      <c r="H44" s="193"/>
      <c r="I44" s="193"/>
      <c r="J44" s="193"/>
    </row>
    <row r="45" spans="1:10" ht="27.6" x14ac:dyDescent="0.3">
      <c r="A45" s="202" t="s">
        <v>368</v>
      </c>
      <c r="B45" s="200"/>
      <c r="C45" s="200"/>
      <c r="D45" s="200"/>
      <c r="E45" s="200"/>
      <c r="F45" s="193"/>
      <c r="G45" s="193"/>
      <c r="H45" s="193"/>
      <c r="I45" s="193"/>
      <c r="J45" s="193"/>
    </row>
    <row r="46" spans="1:10" ht="41.4" x14ac:dyDescent="0.3">
      <c r="A46" s="202" t="s">
        <v>369</v>
      </c>
      <c r="B46" s="200"/>
      <c r="C46" s="200"/>
      <c r="D46" s="200"/>
      <c r="E46" s="200"/>
      <c r="F46" s="193"/>
      <c r="G46" s="193"/>
      <c r="H46" s="193"/>
      <c r="I46" s="193"/>
      <c r="J46" s="193"/>
    </row>
    <row r="47" spans="1:10" ht="41.4" x14ac:dyDescent="0.3">
      <c r="A47" s="202" t="s">
        <v>370</v>
      </c>
      <c r="B47" s="200"/>
      <c r="C47" s="200"/>
      <c r="D47" s="200"/>
      <c r="E47" s="200"/>
      <c r="F47" s="193"/>
      <c r="G47" s="193"/>
      <c r="H47" s="193"/>
      <c r="I47" s="193"/>
      <c r="J47" s="193"/>
    </row>
    <row r="48" spans="1:10" ht="27.6" x14ac:dyDescent="0.3">
      <c r="A48" s="202" t="s">
        <v>371</v>
      </c>
      <c r="B48" s="200">
        <v>19240.83382788</v>
      </c>
      <c r="C48" s="200">
        <v>11448.862357</v>
      </c>
      <c r="D48" s="200">
        <v>11448.862357</v>
      </c>
      <c r="E48" s="200">
        <v>11448.862357</v>
      </c>
      <c r="F48" s="193"/>
      <c r="G48" s="193"/>
      <c r="H48" s="193"/>
      <c r="I48" s="193"/>
      <c r="J48" s="193"/>
    </row>
    <row r="49" spans="1:10" ht="27.6" x14ac:dyDescent="0.3">
      <c r="A49" s="202" t="s">
        <v>372</v>
      </c>
      <c r="B49" s="200">
        <v>1186.0999999999999</v>
      </c>
      <c r="C49" s="200"/>
      <c r="D49" s="200"/>
      <c r="E49" s="200"/>
      <c r="F49" s="193"/>
      <c r="G49" s="193"/>
      <c r="H49" s="193"/>
      <c r="I49" s="193"/>
      <c r="J49" s="193"/>
    </row>
    <row r="50" spans="1:10" ht="41.4" x14ac:dyDescent="0.3">
      <c r="A50" s="202" t="s">
        <v>373</v>
      </c>
      <c r="B50" s="200"/>
      <c r="C50" s="200"/>
      <c r="D50" s="200"/>
      <c r="E50" s="200"/>
      <c r="F50" s="193"/>
      <c r="G50" s="193"/>
      <c r="H50" s="193"/>
      <c r="I50" s="193"/>
      <c r="J50" s="193"/>
    </row>
    <row r="51" spans="1:10" ht="13.8" x14ac:dyDescent="0.3">
      <c r="A51" s="197" t="s">
        <v>374</v>
      </c>
      <c r="B51" s="198">
        <f>+B12+B27+B41</f>
        <v>172647.41832112998</v>
      </c>
      <c r="C51" s="198">
        <f t="shared" ref="C51:E51" si="3">+C12+C27+C41</f>
        <v>166365.07364895</v>
      </c>
      <c r="D51" s="198">
        <f t="shared" si="3"/>
        <v>156125.03855795</v>
      </c>
      <c r="E51" s="198">
        <f t="shared" si="3"/>
        <v>142777.29729695001</v>
      </c>
      <c r="F51" s="193"/>
      <c r="G51" s="193"/>
      <c r="H51" s="193"/>
      <c r="I51" s="193"/>
      <c r="J51" s="193"/>
    </row>
    <row r="52" spans="1:10" ht="13.8" x14ac:dyDescent="0.3">
      <c r="A52" s="193"/>
      <c r="B52" s="193"/>
      <c r="C52" s="193"/>
      <c r="D52" s="193"/>
      <c r="E52" s="193"/>
      <c r="F52" s="193"/>
      <c r="G52" s="193"/>
      <c r="H52" s="193"/>
      <c r="I52" s="193"/>
      <c r="J52" s="193"/>
    </row>
    <row r="53" spans="1:10" ht="18" x14ac:dyDescent="0.35">
      <c r="A53" s="230" t="s">
        <v>375</v>
      </c>
      <c r="B53" s="230"/>
      <c r="C53" s="230"/>
      <c r="D53" s="230"/>
      <c r="E53" s="230"/>
      <c r="F53" s="193"/>
      <c r="G53" s="193"/>
      <c r="H53" s="193"/>
      <c r="I53" s="193"/>
      <c r="J53" s="193"/>
    </row>
    <row r="54" spans="1:10" ht="14.4" x14ac:dyDescent="0.3">
      <c r="A54" s="195" t="s">
        <v>334</v>
      </c>
      <c r="B54" s="195">
        <v>2025</v>
      </c>
      <c r="C54" s="195">
        <v>2026</v>
      </c>
      <c r="D54" s="195">
        <v>2027</v>
      </c>
      <c r="E54" s="195">
        <v>2028</v>
      </c>
      <c r="F54" s="193"/>
      <c r="G54" s="193"/>
      <c r="H54" s="193"/>
      <c r="I54" s="193"/>
      <c r="J54" s="193"/>
    </row>
    <row r="55" spans="1:10" ht="13.8" x14ac:dyDescent="0.3">
      <c r="A55" s="197" t="s">
        <v>376</v>
      </c>
      <c r="B55" s="198">
        <f>SUM(B56:B62)</f>
        <v>128123.63228276001</v>
      </c>
      <c r="C55" s="198">
        <f t="shared" ref="C55:E55" si="4">SUM(C56:C62)</f>
        <v>128005.13097746528</v>
      </c>
      <c r="D55" s="198">
        <f t="shared" si="4"/>
        <v>128310.89751893417</v>
      </c>
      <c r="E55" s="198">
        <f t="shared" si="4"/>
        <v>128966.89444923232</v>
      </c>
      <c r="F55" s="193"/>
      <c r="G55" s="193"/>
      <c r="H55" s="193"/>
      <c r="I55" s="193"/>
      <c r="J55" s="193"/>
    </row>
    <row r="56" spans="1:10" ht="13.8" x14ac:dyDescent="0.3">
      <c r="A56" s="203" t="s">
        <v>377</v>
      </c>
      <c r="B56" s="200">
        <v>91520.225261790009</v>
      </c>
      <c r="C56" s="200">
        <v>91649.739640290587</v>
      </c>
      <c r="D56" s="200">
        <v>92241.57928211063</v>
      </c>
      <c r="E56" s="200">
        <v>92866.765549413743</v>
      </c>
      <c r="F56" s="193"/>
      <c r="G56" s="193"/>
      <c r="H56" s="193"/>
      <c r="I56" s="193"/>
      <c r="J56" s="193"/>
    </row>
    <row r="57" spans="1:10" ht="13.8" x14ac:dyDescent="0.3">
      <c r="A57" s="203" t="s">
        <v>378</v>
      </c>
      <c r="B57" s="200">
        <v>17691.928367029999</v>
      </c>
      <c r="C57" s="200">
        <v>17984.559569289413</v>
      </c>
      <c r="D57" s="200">
        <v>17496.253093250092</v>
      </c>
      <c r="E57" s="200">
        <v>17119.27866573201</v>
      </c>
      <c r="F57" s="193"/>
      <c r="G57" s="193"/>
      <c r="H57" s="193"/>
      <c r="I57" s="193"/>
      <c r="J57" s="193"/>
    </row>
    <row r="58" spans="1:10" ht="13.8" x14ac:dyDescent="0.3">
      <c r="A58" s="203" t="s">
        <v>379</v>
      </c>
      <c r="B58" s="200"/>
      <c r="C58" s="200"/>
      <c r="D58" s="200"/>
      <c r="E58" s="200"/>
      <c r="F58" s="193"/>
      <c r="G58" s="193"/>
      <c r="H58" s="193"/>
      <c r="I58" s="193"/>
      <c r="J58" s="193"/>
    </row>
    <row r="59" spans="1:10" ht="13.8" x14ac:dyDescent="0.3">
      <c r="A59" s="203" t="s">
        <v>380</v>
      </c>
      <c r="B59" s="200"/>
      <c r="C59" s="200"/>
      <c r="D59" s="200"/>
      <c r="E59" s="200"/>
      <c r="F59" s="193"/>
      <c r="G59" s="193"/>
      <c r="H59" s="193"/>
      <c r="I59" s="193"/>
      <c r="J59" s="193"/>
    </row>
    <row r="60" spans="1:10" ht="13.8" x14ac:dyDescent="0.3">
      <c r="A60" s="203" t="s">
        <v>381</v>
      </c>
      <c r="B60" s="200">
        <v>89.284800000000004</v>
      </c>
      <c r="C60" s="200">
        <v>98.294102238301122</v>
      </c>
      <c r="D60" s="200">
        <v>98.35307103009859</v>
      </c>
      <c r="E60" s="200">
        <v>98.391485871685092</v>
      </c>
      <c r="F60" s="193"/>
      <c r="G60" s="193"/>
      <c r="H60" s="193"/>
      <c r="I60" s="193"/>
      <c r="J60" s="193"/>
    </row>
    <row r="61" spans="1:10" ht="13.8" x14ac:dyDescent="0.3">
      <c r="A61" s="203" t="s">
        <v>382</v>
      </c>
      <c r="B61" s="200">
        <v>18758.098877200006</v>
      </c>
      <c r="C61" s="200">
        <v>18214.088565138667</v>
      </c>
      <c r="D61" s="200">
        <v>18415.648297097639</v>
      </c>
      <c r="E61" s="200">
        <v>18822.859748894429</v>
      </c>
      <c r="F61" s="193"/>
      <c r="G61" s="193"/>
      <c r="H61" s="193"/>
      <c r="I61" s="193"/>
      <c r="J61" s="193"/>
    </row>
    <row r="62" spans="1:10" ht="13.8" x14ac:dyDescent="0.3">
      <c r="A62" s="203" t="s">
        <v>383</v>
      </c>
      <c r="B62" s="200">
        <v>64.094976740000007</v>
      </c>
      <c r="C62" s="200">
        <v>58.449100508315759</v>
      </c>
      <c r="D62" s="200">
        <v>59.063775445711208</v>
      </c>
      <c r="E62" s="200">
        <v>59.598999320443824</v>
      </c>
      <c r="F62" s="193"/>
      <c r="G62" s="193"/>
      <c r="H62" s="193"/>
      <c r="I62" s="193"/>
      <c r="J62" s="193"/>
    </row>
    <row r="63" spans="1:10" ht="13.8" x14ac:dyDescent="0.3">
      <c r="A63" s="197" t="s">
        <v>192</v>
      </c>
      <c r="B63" s="198">
        <f>SUM(B64:B76)</f>
        <v>20053.60194099</v>
      </c>
      <c r="C63" s="198">
        <f t="shared" ref="C63:E63" si="5">SUM(C64:C76)</f>
        <v>24378.337182059608</v>
      </c>
      <c r="D63" s="198">
        <f t="shared" si="5"/>
        <v>23976.067221922473</v>
      </c>
      <c r="E63" s="198">
        <f t="shared" si="5"/>
        <v>13810.404322721477</v>
      </c>
      <c r="F63" s="193"/>
      <c r="G63" s="193"/>
      <c r="H63" s="193"/>
      <c r="I63" s="193"/>
      <c r="J63" s="193"/>
    </row>
    <row r="64" spans="1:10" ht="13.8" x14ac:dyDescent="0.3">
      <c r="A64" s="203" t="s">
        <v>384</v>
      </c>
      <c r="B64" s="200">
        <v>2355.4649250000002</v>
      </c>
      <c r="C64" s="200">
        <v>12953.65877257478</v>
      </c>
      <c r="D64" s="200">
        <v>12971.585276331594</v>
      </c>
      <c r="E64" s="200">
        <v>2828.0540249999999</v>
      </c>
      <c r="F64" s="193"/>
      <c r="G64" s="193"/>
      <c r="H64" s="193"/>
      <c r="I64" s="193"/>
      <c r="J64" s="193"/>
    </row>
    <row r="65" spans="1:10" ht="13.8" x14ac:dyDescent="0.3">
      <c r="A65" s="203" t="s">
        <v>385</v>
      </c>
      <c r="B65" s="200">
        <v>0.140954</v>
      </c>
      <c r="C65" s="200">
        <v>123.46698499999999</v>
      </c>
      <c r="D65" s="200">
        <v>123.46698499999999</v>
      </c>
      <c r="E65" s="200">
        <v>123.46698499999999</v>
      </c>
      <c r="F65" s="193"/>
      <c r="G65" s="193"/>
      <c r="H65" s="193"/>
      <c r="I65" s="193"/>
      <c r="J65" s="193"/>
    </row>
    <row r="66" spans="1:10" ht="13.8" x14ac:dyDescent="0.3">
      <c r="A66" s="203" t="s">
        <v>386</v>
      </c>
      <c r="B66" s="200"/>
      <c r="C66" s="200"/>
      <c r="D66" s="200"/>
      <c r="E66" s="200"/>
      <c r="F66" s="193"/>
      <c r="G66" s="193"/>
      <c r="H66" s="193"/>
      <c r="I66" s="193"/>
      <c r="J66" s="193"/>
    </row>
    <row r="67" spans="1:10" ht="13.8" x14ac:dyDescent="0.3">
      <c r="A67" s="203" t="s">
        <v>387</v>
      </c>
      <c r="B67" s="200">
        <v>183.404957</v>
      </c>
      <c r="C67" s="200">
        <v>29.467950999999999</v>
      </c>
      <c r="D67" s="200">
        <v>29.467950999999999</v>
      </c>
      <c r="E67" s="200">
        <v>29.467950999999999</v>
      </c>
      <c r="F67" s="193"/>
      <c r="G67" s="193"/>
      <c r="H67" s="193"/>
      <c r="I67" s="193"/>
      <c r="J67" s="193"/>
    </row>
    <row r="68" spans="1:10" ht="13.8" x14ac:dyDescent="0.3">
      <c r="A68" s="203" t="s">
        <v>388</v>
      </c>
      <c r="B68" s="200">
        <v>0.115344</v>
      </c>
      <c r="C68" s="200">
        <v>151.75843</v>
      </c>
      <c r="D68" s="200">
        <v>151.75843</v>
      </c>
      <c r="E68" s="200">
        <v>151.75843</v>
      </c>
      <c r="F68" s="193"/>
      <c r="G68" s="193"/>
      <c r="H68" s="193"/>
      <c r="I68" s="193"/>
      <c r="J68" s="193"/>
    </row>
    <row r="69" spans="1:10" ht="13.8" x14ac:dyDescent="0.3">
      <c r="A69" s="203" t="s">
        <v>389</v>
      </c>
      <c r="B69" s="200">
        <v>15430.40041799</v>
      </c>
      <c r="C69" s="200">
        <v>10733.99523393253</v>
      </c>
      <c r="D69" s="200">
        <v>10313.797839521529</v>
      </c>
      <c r="E69" s="200">
        <v>10291.667798968056</v>
      </c>
      <c r="F69" s="193"/>
      <c r="G69" s="193"/>
      <c r="H69" s="193"/>
      <c r="I69" s="193"/>
      <c r="J69" s="193"/>
    </row>
    <row r="70" spans="1:10" ht="13.8" x14ac:dyDescent="0.3">
      <c r="A70" s="203" t="s">
        <v>390</v>
      </c>
      <c r="B70" s="200"/>
      <c r="C70" s="200"/>
      <c r="D70" s="200"/>
      <c r="E70" s="200"/>
      <c r="F70" s="193"/>
      <c r="G70" s="193"/>
      <c r="H70" s="193"/>
      <c r="I70" s="193"/>
      <c r="J70" s="193"/>
    </row>
    <row r="71" spans="1:10" ht="13.8" x14ac:dyDescent="0.3">
      <c r="A71" s="203" t="s">
        <v>391</v>
      </c>
      <c r="B71" s="200">
        <v>356.60793799999999</v>
      </c>
      <c r="C71" s="200">
        <v>118.86931300000001</v>
      </c>
      <c r="D71" s="200">
        <v>118.86931300000001</v>
      </c>
      <c r="E71" s="200">
        <v>118.86931300000001</v>
      </c>
      <c r="F71" s="193"/>
      <c r="G71" s="193"/>
      <c r="H71" s="193"/>
      <c r="I71" s="193"/>
      <c r="J71" s="193"/>
    </row>
    <row r="72" spans="1:10" ht="13.8" x14ac:dyDescent="0.3">
      <c r="A72" s="203" t="s">
        <v>392</v>
      </c>
      <c r="B72" s="200">
        <v>1727.4674050000001</v>
      </c>
      <c r="C72" s="200">
        <v>267.12049655229873</v>
      </c>
      <c r="D72" s="200">
        <v>267.12142706934907</v>
      </c>
      <c r="E72" s="200">
        <v>267.1198197534228</v>
      </c>
      <c r="F72" s="193"/>
      <c r="G72" s="193"/>
      <c r="H72" s="193"/>
      <c r="I72" s="193"/>
      <c r="J72" s="193"/>
    </row>
    <row r="73" spans="1:10" ht="13.8" x14ac:dyDescent="0.3">
      <c r="A73" s="203" t="s">
        <v>393</v>
      </c>
      <c r="B73" s="200"/>
      <c r="C73" s="200"/>
      <c r="D73" s="200"/>
      <c r="E73" s="200"/>
      <c r="F73" s="193"/>
      <c r="G73" s="193"/>
      <c r="H73" s="193"/>
      <c r="I73" s="193"/>
      <c r="J73" s="193"/>
    </row>
    <row r="74" spans="1:10" ht="13.8" x14ac:dyDescent="0.3">
      <c r="A74" s="203" t="s">
        <v>394</v>
      </c>
      <c r="B74" s="200"/>
      <c r="C74" s="200"/>
      <c r="D74" s="200"/>
      <c r="E74" s="200"/>
      <c r="F74" s="193"/>
      <c r="G74" s="193"/>
      <c r="H74" s="193"/>
      <c r="I74" s="193"/>
      <c r="J74" s="193"/>
    </row>
    <row r="75" spans="1:10" ht="13.8" x14ac:dyDescent="0.3">
      <c r="A75" s="203" t="s">
        <v>395</v>
      </c>
      <c r="B75" s="200"/>
      <c r="C75" s="200"/>
      <c r="D75" s="200"/>
      <c r="E75" s="200"/>
      <c r="F75" s="193"/>
      <c r="G75" s="193"/>
      <c r="H75" s="193"/>
      <c r="I75" s="193"/>
      <c r="J75" s="193"/>
    </row>
    <row r="76" spans="1:10" ht="13.8" x14ac:dyDescent="0.3">
      <c r="A76" s="203" t="s">
        <v>396</v>
      </c>
      <c r="B76" s="200"/>
      <c r="C76" s="200"/>
      <c r="D76" s="200"/>
      <c r="E76" s="200"/>
      <c r="F76" s="193"/>
      <c r="G76" s="193"/>
      <c r="H76" s="193"/>
      <c r="I76" s="193"/>
      <c r="J76" s="193"/>
    </row>
    <row r="77" spans="1:10" ht="13.8" x14ac:dyDescent="0.3">
      <c r="A77" s="197" t="s">
        <v>397</v>
      </c>
      <c r="B77" s="198">
        <f>SUM(B78:B82)</f>
        <v>24460.267650000002</v>
      </c>
      <c r="C77" s="198">
        <f t="shared" ref="C77:E77" si="6">SUM(C78:C82)</f>
        <v>13981.606332425221</v>
      </c>
      <c r="D77" s="198">
        <f t="shared" si="6"/>
        <v>3838.0750810936261</v>
      </c>
      <c r="E77" s="198">
        <f t="shared" si="6"/>
        <v>0</v>
      </c>
      <c r="F77" s="193"/>
      <c r="G77" s="193"/>
      <c r="H77" s="193"/>
      <c r="I77" s="193"/>
      <c r="J77" s="193"/>
    </row>
    <row r="78" spans="1:10" ht="13.8" x14ac:dyDescent="0.3">
      <c r="A78" s="203" t="s">
        <v>398</v>
      </c>
      <c r="B78" s="200"/>
      <c r="C78" s="200"/>
      <c r="D78" s="200"/>
      <c r="E78" s="200"/>
      <c r="F78" s="193"/>
      <c r="G78" s="193"/>
      <c r="H78" s="193"/>
      <c r="I78" s="193"/>
      <c r="J78" s="193"/>
    </row>
    <row r="79" spans="1:10" ht="13.8" x14ac:dyDescent="0.3">
      <c r="A79" s="203" t="s">
        <v>399</v>
      </c>
      <c r="B79" s="200">
        <v>24460.267650000002</v>
      </c>
      <c r="C79" s="200">
        <v>13981.606332425221</v>
      </c>
      <c r="D79" s="200">
        <v>3838.0750810936261</v>
      </c>
      <c r="E79" s="200"/>
      <c r="F79" s="193"/>
      <c r="G79" s="193"/>
      <c r="H79" s="193"/>
      <c r="I79" s="193"/>
      <c r="J79" s="193"/>
    </row>
    <row r="80" spans="1:10" ht="13.8" x14ac:dyDescent="0.3">
      <c r="A80" s="203" t="s">
        <v>400</v>
      </c>
      <c r="B80" s="200"/>
      <c r="C80" s="200"/>
      <c r="D80" s="200"/>
      <c r="E80" s="200"/>
      <c r="F80" s="193"/>
      <c r="G80" s="193"/>
      <c r="H80" s="193"/>
      <c r="I80" s="193"/>
      <c r="J80" s="193"/>
    </row>
    <row r="81" spans="1:10" ht="13.8" x14ac:dyDescent="0.3">
      <c r="A81" s="203" t="s">
        <v>401</v>
      </c>
      <c r="B81" s="200"/>
      <c r="C81" s="200"/>
      <c r="D81" s="200"/>
      <c r="E81" s="200"/>
      <c r="F81" s="193"/>
      <c r="G81" s="193"/>
      <c r="H81" s="193"/>
      <c r="I81" s="193"/>
      <c r="J81" s="193"/>
    </row>
    <row r="82" spans="1:10" ht="13.8" x14ac:dyDescent="0.3">
      <c r="A82" s="203" t="s">
        <v>402</v>
      </c>
      <c r="B82" s="200"/>
      <c r="C82" s="200"/>
      <c r="D82" s="200"/>
      <c r="E82" s="200"/>
      <c r="F82" s="193"/>
      <c r="G82" s="193"/>
      <c r="H82" s="193"/>
      <c r="I82" s="193"/>
      <c r="J82" s="193"/>
    </row>
    <row r="83" spans="1:10" ht="13.8" x14ac:dyDescent="0.3">
      <c r="A83" s="197" t="s">
        <v>403</v>
      </c>
      <c r="B83" s="200">
        <v>9.9188120599999987</v>
      </c>
      <c r="C83" s="200"/>
      <c r="D83" s="200"/>
      <c r="E83" s="200"/>
      <c r="F83" s="193"/>
      <c r="G83" s="193"/>
      <c r="H83" s="193"/>
      <c r="I83" s="193"/>
      <c r="J83" s="193"/>
    </row>
    <row r="84" spans="1:10" ht="13.8" x14ac:dyDescent="0.3">
      <c r="A84" s="197" t="s">
        <v>7</v>
      </c>
      <c r="B84" s="198">
        <f>+B55+B63+B77+B83</f>
        <v>172647.42068581001</v>
      </c>
      <c r="C84" s="198">
        <f t="shared" ref="C84:E84" si="7">+C55+C63+C77+C83</f>
        <v>166365.07449195013</v>
      </c>
      <c r="D84" s="198">
        <f t="shared" si="7"/>
        <v>156125.03982195025</v>
      </c>
      <c r="E84" s="198">
        <f t="shared" si="7"/>
        <v>142777.29877195379</v>
      </c>
      <c r="F84" s="193"/>
      <c r="G84" s="193"/>
      <c r="H84" s="193"/>
      <c r="I84" s="193"/>
      <c r="J84" s="193"/>
    </row>
    <row r="85" spans="1:10" ht="13.8" x14ac:dyDescent="0.3">
      <c r="A85" s="193"/>
      <c r="B85" s="193"/>
      <c r="C85" s="193"/>
      <c r="D85" s="193"/>
      <c r="E85" s="193"/>
      <c r="F85" s="193"/>
      <c r="G85" s="193"/>
      <c r="H85" s="193"/>
      <c r="I85" s="193"/>
      <c r="J85" s="193"/>
    </row>
    <row r="86" spans="1:10" ht="18" x14ac:dyDescent="0.35">
      <c r="A86" s="231" t="s">
        <v>404</v>
      </c>
      <c r="B86" s="232"/>
      <c r="C86" s="232"/>
      <c r="D86" s="232"/>
      <c r="E86" s="232"/>
      <c r="F86" s="232"/>
      <c r="G86" s="232"/>
      <c r="H86" s="232"/>
      <c r="I86" s="232"/>
      <c r="J86" s="233"/>
    </row>
    <row r="87" spans="1:10" ht="13.8" x14ac:dyDescent="0.3">
      <c r="A87" s="193"/>
      <c r="B87" s="193"/>
      <c r="C87" s="193"/>
      <c r="D87" s="193"/>
      <c r="E87" s="193"/>
      <c r="F87" s="193"/>
      <c r="G87" s="193"/>
      <c r="H87" s="193"/>
      <c r="I87" s="193"/>
      <c r="J87" s="193"/>
    </row>
    <row r="88" spans="1:10" ht="43.2" x14ac:dyDescent="0.3">
      <c r="A88" s="194" t="s">
        <v>405</v>
      </c>
      <c r="B88" s="214" t="s">
        <v>406</v>
      </c>
      <c r="C88" s="214"/>
      <c r="D88" s="214"/>
      <c r="E88" s="214"/>
      <c r="F88" s="214"/>
      <c r="G88" s="214"/>
      <c r="H88" s="214"/>
      <c r="I88" s="214"/>
      <c r="J88" s="214"/>
    </row>
    <row r="89" spans="1:10" ht="13.8" x14ac:dyDescent="0.3">
      <c r="A89" s="193"/>
      <c r="B89" s="193"/>
      <c r="C89" s="193"/>
      <c r="D89" s="193"/>
      <c r="E89" s="193"/>
      <c r="F89" s="193"/>
      <c r="G89" s="193"/>
      <c r="H89" s="193"/>
      <c r="I89" s="193"/>
      <c r="J89" s="193"/>
    </row>
    <row r="90" spans="1:10" ht="18" x14ac:dyDescent="0.35">
      <c r="A90" s="226" t="s">
        <v>407</v>
      </c>
      <c r="B90" s="227"/>
      <c r="C90" s="227"/>
      <c r="D90" s="227"/>
      <c r="E90" s="227"/>
      <c r="F90" s="227"/>
      <c r="G90" s="227"/>
      <c r="H90" s="227"/>
      <c r="I90" s="227"/>
      <c r="J90" s="228"/>
    </row>
    <row r="91" spans="1:10" ht="72" x14ac:dyDescent="0.3">
      <c r="A91" s="204" t="s">
        <v>408</v>
      </c>
      <c r="B91" s="214" t="s">
        <v>409</v>
      </c>
      <c r="C91" s="214"/>
      <c r="D91" s="214"/>
      <c r="E91" s="214"/>
      <c r="F91" s="214"/>
      <c r="G91" s="214"/>
      <c r="H91" s="214"/>
      <c r="I91" s="214"/>
      <c r="J91" s="214"/>
    </row>
    <row r="92" spans="1:10" ht="72" x14ac:dyDescent="0.3">
      <c r="A92" s="205" t="s">
        <v>410</v>
      </c>
      <c r="B92" s="214" t="s">
        <v>411</v>
      </c>
      <c r="C92" s="214"/>
      <c r="D92" s="214"/>
      <c r="E92" s="214"/>
      <c r="F92" s="214"/>
      <c r="G92" s="214"/>
      <c r="H92" s="214"/>
      <c r="I92" s="214"/>
      <c r="J92" s="214"/>
    </row>
    <row r="93" spans="1:10" ht="72" x14ac:dyDescent="0.3">
      <c r="A93" s="206" t="s">
        <v>412</v>
      </c>
      <c r="B93" s="214" t="s">
        <v>413</v>
      </c>
      <c r="C93" s="214"/>
      <c r="D93" s="214"/>
      <c r="E93" s="214"/>
      <c r="F93" s="214"/>
      <c r="G93" s="214"/>
      <c r="H93" s="214"/>
      <c r="I93" s="214"/>
      <c r="J93" s="214"/>
    </row>
    <row r="94" spans="1:10" ht="13.8" x14ac:dyDescent="0.3">
      <c r="A94" s="207"/>
      <c r="B94" s="207"/>
      <c r="C94" s="207"/>
      <c r="D94" s="207"/>
      <c r="E94" s="207"/>
      <c r="F94" s="193"/>
      <c r="G94" s="193"/>
      <c r="H94" s="193"/>
      <c r="I94" s="193"/>
      <c r="J94" s="193"/>
    </row>
    <row r="95" spans="1:10" ht="18" x14ac:dyDescent="0.35">
      <c r="A95" s="226" t="s">
        <v>414</v>
      </c>
      <c r="B95" s="227"/>
      <c r="C95" s="227"/>
      <c r="D95" s="227"/>
      <c r="E95" s="227"/>
      <c r="F95" s="227"/>
      <c r="G95" s="227"/>
      <c r="H95" s="227"/>
      <c r="I95" s="227"/>
      <c r="J95" s="228"/>
    </row>
    <row r="96" spans="1:10" ht="129.6" x14ac:dyDescent="0.25">
      <c r="A96" s="194" t="s">
        <v>415</v>
      </c>
      <c r="B96" s="215" t="s">
        <v>416</v>
      </c>
      <c r="C96" s="215"/>
      <c r="D96" s="215"/>
      <c r="E96" s="215" t="s">
        <v>417</v>
      </c>
      <c r="F96" s="215"/>
      <c r="G96" s="215"/>
      <c r="H96" s="215" t="s">
        <v>418</v>
      </c>
      <c r="I96" s="215"/>
      <c r="J96" s="215"/>
    </row>
    <row r="97" spans="1:10" ht="28.8" x14ac:dyDescent="0.3">
      <c r="A97" s="208" t="s">
        <v>419</v>
      </c>
      <c r="B97" s="223" t="s">
        <v>420</v>
      </c>
      <c r="C97" s="224"/>
      <c r="D97" s="225"/>
      <c r="E97" s="223" t="s">
        <v>421</v>
      </c>
      <c r="F97" s="224"/>
      <c r="G97" s="225"/>
      <c r="H97" s="223" t="s">
        <v>422</v>
      </c>
      <c r="I97" s="224"/>
      <c r="J97" s="225"/>
    </row>
    <row r="98" spans="1:10" ht="14.4" x14ac:dyDescent="0.3">
      <c r="A98" s="208" t="s">
        <v>423</v>
      </c>
      <c r="B98" s="216" t="s">
        <v>424</v>
      </c>
      <c r="C98" s="217"/>
      <c r="D98" s="218"/>
      <c r="E98" s="216" t="s">
        <v>425</v>
      </c>
      <c r="F98" s="217"/>
      <c r="G98" s="218"/>
      <c r="H98" s="216"/>
      <c r="I98" s="217"/>
      <c r="J98" s="218"/>
    </row>
    <row r="99" spans="1:10" ht="28.8" x14ac:dyDescent="0.3">
      <c r="A99" s="208" t="s">
        <v>426</v>
      </c>
      <c r="B99" s="216" t="s">
        <v>427</v>
      </c>
      <c r="C99" s="217"/>
      <c r="D99" s="218"/>
      <c r="E99" s="216" t="s">
        <v>428</v>
      </c>
      <c r="F99" s="217"/>
      <c r="G99" s="218"/>
      <c r="H99" s="216"/>
      <c r="I99" s="217"/>
      <c r="J99" s="218"/>
    </row>
    <row r="100" spans="1:10" ht="14.4" x14ac:dyDescent="0.3">
      <c r="A100" s="208"/>
      <c r="B100" s="216"/>
      <c r="C100" s="217"/>
      <c r="D100" s="218"/>
      <c r="E100" s="216"/>
      <c r="F100" s="217"/>
      <c r="G100" s="218"/>
      <c r="H100" s="216"/>
      <c r="I100" s="217"/>
      <c r="J100" s="218"/>
    </row>
    <row r="101" spans="1:10" ht="14.4" x14ac:dyDescent="0.3">
      <c r="A101" s="208"/>
      <c r="B101" s="216"/>
      <c r="C101" s="217"/>
      <c r="D101" s="218"/>
      <c r="E101" s="216"/>
      <c r="F101" s="217"/>
      <c r="G101" s="218"/>
      <c r="H101" s="216"/>
      <c r="I101" s="217"/>
      <c r="J101" s="218"/>
    </row>
    <row r="102" spans="1:10" ht="100.8" x14ac:dyDescent="0.25">
      <c r="A102" s="206" t="s">
        <v>429</v>
      </c>
      <c r="B102" s="215" t="s">
        <v>430</v>
      </c>
      <c r="C102" s="215"/>
      <c r="D102" s="215"/>
      <c r="E102" s="220" t="s">
        <v>431</v>
      </c>
      <c r="F102" s="221"/>
      <c r="G102" s="222"/>
      <c r="H102" s="215" t="s">
        <v>418</v>
      </c>
      <c r="I102" s="215"/>
      <c r="J102" s="215"/>
    </row>
    <row r="103" spans="1:10" ht="14.4" x14ac:dyDescent="0.3">
      <c r="A103" s="209" t="s">
        <v>432</v>
      </c>
      <c r="B103" s="216" t="s">
        <v>433</v>
      </c>
      <c r="C103" s="217"/>
      <c r="D103" s="218"/>
      <c r="E103" s="216" t="s">
        <v>434</v>
      </c>
      <c r="F103" s="217"/>
      <c r="G103" s="218"/>
      <c r="H103" s="216"/>
      <c r="I103" s="217"/>
      <c r="J103" s="218"/>
    </row>
    <row r="104" spans="1:10" ht="28.8" x14ac:dyDescent="0.3">
      <c r="A104" s="209" t="s">
        <v>435</v>
      </c>
      <c r="B104" s="216" t="s">
        <v>436</v>
      </c>
      <c r="C104" s="217"/>
      <c r="D104" s="218"/>
      <c r="E104" s="216" t="s">
        <v>437</v>
      </c>
      <c r="F104" s="217"/>
      <c r="G104" s="218"/>
      <c r="H104" s="216"/>
      <c r="I104" s="217"/>
      <c r="J104" s="218"/>
    </row>
    <row r="105" spans="1:10" ht="28.8" x14ac:dyDescent="0.3">
      <c r="A105" s="209" t="s">
        <v>438</v>
      </c>
      <c r="B105" s="216" t="s">
        <v>439</v>
      </c>
      <c r="C105" s="217"/>
      <c r="D105" s="218"/>
      <c r="E105" s="216" t="s">
        <v>440</v>
      </c>
      <c r="F105" s="217"/>
      <c r="G105" s="218"/>
      <c r="H105" s="216"/>
      <c r="I105" s="217"/>
      <c r="J105" s="218"/>
    </row>
    <row r="106" spans="1:10" ht="14.4" x14ac:dyDescent="0.3">
      <c r="A106" s="209" t="s">
        <v>271</v>
      </c>
      <c r="B106" s="216" t="s">
        <v>441</v>
      </c>
      <c r="C106" s="217"/>
      <c r="D106" s="218"/>
      <c r="E106" s="216" t="s">
        <v>442</v>
      </c>
      <c r="F106" s="217"/>
      <c r="G106" s="218"/>
      <c r="H106" s="216"/>
      <c r="I106" s="217"/>
      <c r="J106" s="218"/>
    </row>
    <row r="107" spans="1:10" ht="14.4" x14ac:dyDescent="0.3">
      <c r="A107" s="209" t="s">
        <v>281</v>
      </c>
      <c r="B107" s="216" t="s">
        <v>443</v>
      </c>
      <c r="C107" s="217"/>
      <c r="D107" s="218"/>
      <c r="E107" s="216" t="s">
        <v>444</v>
      </c>
      <c r="F107" s="217"/>
      <c r="G107" s="218"/>
      <c r="H107" s="216"/>
      <c r="I107" s="217"/>
      <c r="J107" s="218"/>
    </row>
    <row r="108" spans="1:10" ht="86.4" x14ac:dyDescent="0.25">
      <c r="A108" s="206" t="s">
        <v>445</v>
      </c>
      <c r="B108" s="219" t="s">
        <v>446</v>
      </c>
      <c r="C108" s="219"/>
      <c r="D108" s="219"/>
      <c r="E108" s="219" t="s">
        <v>417</v>
      </c>
      <c r="F108" s="219"/>
      <c r="G108" s="219"/>
      <c r="H108" s="219" t="s">
        <v>418</v>
      </c>
      <c r="I108" s="219"/>
      <c r="J108" s="219"/>
    </row>
    <row r="109" spans="1:10" ht="14.4" x14ac:dyDescent="0.3">
      <c r="A109" s="210" t="s">
        <v>447</v>
      </c>
      <c r="B109" s="214"/>
      <c r="C109" s="214"/>
      <c r="D109" s="214"/>
      <c r="E109" s="214"/>
      <c r="F109" s="214"/>
      <c r="G109" s="214"/>
      <c r="H109" s="214"/>
      <c r="I109" s="214"/>
      <c r="J109" s="214"/>
    </row>
    <row r="110" spans="1:10" ht="14.4" x14ac:dyDescent="0.3">
      <c r="A110" s="210" t="s">
        <v>447</v>
      </c>
      <c r="B110" s="214"/>
      <c r="C110" s="214"/>
      <c r="D110" s="214"/>
      <c r="E110" s="214"/>
      <c r="F110" s="214"/>
      <c r="G110" s="214"/>
      <c r="H110" s="214"/>
      <c r="I110" s="214"/>
      <c r="J110" s="214"/>
    </row>
    <row r="111" spans="1:10" ht="14.4" x14ac:dyDescent="0.3">
      <c r="A111" s="210" t="s">
        <v>447</v>
      </c>
      <c r="B111" s="214"/>
      <c r="C111" s="214"/>
      <c r="D111" s="214"/>
      <c r="E111" s="214"/>
      <c r="F111" s="214"/>
      <c r="G111" s="214"/>
      <c r="H111" s="214"/>
      <c r="I111" s="214"/>
      <c r="J111" s="214"/>
    </row>
    <row r="112" spans="1:10" ht="129.6" x14ac:dyDescent="0.25">
      <c r="A112" s="194" t="s">
        <v>448</v>
      </c>
      <c r="B112" s="215" t="s">
        <v>449</v>
      </c>
      <c r="C112" s="215"/>
      <c r="D112" s="215"/>
      <c r="E112" s="215" t="s">
        <v>450</v>
      </c>
      <c r="F112" s="215"/>
      <c r="G112" s="215"/>
      <c r="H112" s="215" t="s">
        <v>418</v>
      </c>
      <c r="I112" s="215"/>
      <c r="J112" s="215"/>
    </row>
    <row r="113" spans="1:10" ht="14.4" x14ac:dyDescent="0.3">
      <c r="A113" s="210" t="s">
        <v>451</v>
      </c>
      <c r="B113" s="214" t="s">
        <v>452</v>
      </c>
      <c r="C113" s="214"/>
      <c r="D113" s="214"/>
      <c r="E113" s="214" t="s">
        <v>453</v>
      </c>
      <c r="F113" s="214"/>
      <c r="G113" s="214"/>
      <c r="H113" s="214"/>
      <c r="I113" s="214"/>
      <c r="J113" s="214"/>
    </row>
    <row r="114" spans="1:10" ht="43.2" x14ac:dyDescent="0.3">
      <c r="A114" s="210" t="s">
        <v>454</v>
      </c>
      <c r="B114" s="214"/>
      <c r="C114" s="214"/>
      <c r="D114" s="214"/>
      <c r="E114" s="214"/>
      <c r="F114" s="214"/>
      <c r="G114" s="214"/>
      <c r="H114" s="214"/>
      <c r="I114" s="214"/>
      <c r="J114" s="214"/>
    </row>
    <row r="115" spans="1:10" ht="43.2" x14ac:dyDescent="0.3">
      <c r="A115" s="210" t="s">
        <v>454</v>
      </c>
      <c r="B115" s="214"/>
      <c r="C115" s="214"/>
      <c r="D115" s="214"/>
      <c r="E115" s="214"/>
      <c r="F115" s="214"/>
      <c r="G115" s="214"/>
      <c r="H115" s="214"/>
      <c r="I115" s="214"/>
      <c r="J115" s="214"/>
    </row>
  </sheetData>
  <mergeCells count="76">
    <mergeCell ref="A90:J90"/>
    <mergeCell ref="A1:J1"/>
    <mergeCell ref="A2:J2"/>
    <mergeCell ref="A3:J3"/>
    <mergeCell ref="A4:J4"/>
    <mergeCell ref="A5:J5"/>
    <mergeCell ref="A6:J6"/>
    <mergeCell ref="B8:E8"/>
    <mergeCell ref="A10:E10"/>
    <mergeCell ref="A53:E53"/>
    <mergeCell ref="A86:J86"/>
    <mergeCell ref="B88:J88"/>
    <mergeCell ref="B91:J91"/>
    <mergeCell ref="B92:J92"/>
    <mergeCell ref="B93:J93"/>
    <mergeCell ref="A95:J95"/>
    <mergeCell ref="B96:D96"/>
    <mergeCell ref="E96:G96"/>
    <mergeCell ref="H96:J96"/>
    <mergeCell ref="B97:D97"/>
    <mergeCell ref="E97:G97"/>
    <mergeCell ref="H97:J97"/>
    <mergeCell ref="B98:D98"/>
    <mergeCell ref="E98:G98"/>
    <mergeCell ref="H98:J98"/>
    <mergeCell ref="B99:D99"/>
    <mergeCell ref="E99:G99"/>
    <mergeCell ref="H99:J99"/>
    <mergeCell ref="B100:D100"/>
    <mergeCell ref="E100:G100"/>
    <mergeCell ref="H100:J100"/>
    <mergeCell ref="B101:D101"/>
    <mergeCell ref="E101:G101"/>
    <mergeCell ref="H101:J101"/>
    <mergeCell ref="B102:D102"/>
    <mergeCell ref="E102:G102"/>
    <mergeCell ref="H102:J102"/>
    <mergeCell ref="B103:D103"/>
    <mergeCell ref="E103:G103"/>
    <mergeCell ref="H103:J103"/>
    <mergeCell ref="B104:D104"/>
    <mergeCell ref="E104:G104"/>
    <mergeCell ref="H104:J104"/>
    <mergeCell ref="B105:D105"/>
    <mergeCell ref="E105:G105"/>
    <mergeCell ref="H105:J105"/>
    <mergeCell ref="B106:D106"/>
    <mergeCell ref="E106:G106"/>
    <mergeCell ref="H106:J106"/>
    <mergeCell ref="B107:D107"/>
    <mergeCell ref="E107:G107"/>
    <mergeCell ref="H107:J107"/>
    <mergeCell ref="B108:D108"/>
    <mergeCell ref="E108:G108"/>
    <mergeCell ref="H108:J108"/>
    <mergeCell ref="B109:D109"/>
    <mergeCell ref="E109:G109"/>
    <mergeCell ref="H109:J109"/>
    <mergeCell ref="B110:D110"/>
    <mergeCell ref="E110:G110"/>
    <mergeCell ref="H110:J110"/>
    <mergeCell ref="B111:D111"/>
    <mergeCell ref="E111:G111"/>
    <mergeCell ref="H111:J111"/>
    <mergeCell ref="B112:D112"/>
    <mergeCell ref="E112:G112"/>
    <mergeCell ref="H112:J112"/>
    <mergeCell ref="B115:D115"/>
    <mergeCell ref="E115:G115"/>
    <mergeCell ref="H115:J115"/>
    <mergeCell ref="B113:D113"/>
    <mergeCell ref="E113:G113"/>
    <mergeCell ref="H113:J113"/>
    <mergeCell ref="B114:D114"/>
    <mergeCell ref="E114:G114"/>
    <mergeCell ref="H114:J114"/>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DB7187-7C43-4505-B522-6AEF35232D3E}">
  <sheetPr>
    <tabColor rgb="FFEE0000"/>
  </sheetPr>
  <dimension ref="A1:B49"/>
  <sheetViews>
    <sheetView workbookViewId="0">
      <selection activeCell="J45" sqref="J45"/>
    </sheetView>
  </sheetViews>
  <sheetFormatPr baseColWidth="10" defaultRowHeight="13.2" x14ac:dyDescent="0.25"/>
  <cols>
    <col min="1" max="16384" width="11.5546875" style="190"/>
  </cols>
  <sheetData>
    <row r="1" spans="1:2" x14ac:dyDescent="0.25">
      <c r="A1" s="190" t="s">
        <v>320</v>
      </c>
    </row>
    <row r="2" spans="1:2" x14ac:dyDescent="0.25">
      <c r="A2" s="190" t="s">
        <v>321</v>
      </c>
    </row>
    <row r="14" spans="1:2" x14ac:dyDescent="0.25">
      <c r="A14" s="190">
        <v>2019</v>
      </c>
      <c r="B14" s="191">
        <v>5.0500000000000003E-2</v>
      </c>
    </row>
    <row r="15" spans="1:2" x14ac:dyDescent="0.25">
      <c r="A15" s="190">
        <v>2020</v>
      </c>
      <c r="B15" s="191">
        <v>-3.5299999999999998E-2</v>
      </c>
    </row>
    <row r="16" spans="1:2" x14ac:dyDescent="0.25">
      <c r="A16" s="190">
        <v>2021</v>
      </c>
      <c r="B16" s="191">
        <v>0.105</v>
      </c>
    </row>
    <row r="17" spans="1:2" x14ac:dyDescent="0.25">
      <c r="A17" s="190">
        <v>2022</v>
      </c>
      <c r="B17" s="191">
        <v>0.11119999999999999</v>
      </c>
    </row>
    <row r="18" spans="1:2" x14ac:dyDescent="0.25">
      <c r="A18" s="190">
        <v>2023</v>
      </c>
      <c r="B18" s="191">
        <v>5.0200000000000002E-2</v>
      </c>
    </row>
    <row r="19" spans="1:2" x14ac:dyDescent="0.25">
      <c r="A19" s="190">
        <v>2024</v>
      </c>
      <c r="B19" s="191">
        <v>0.04</v>
      </c>
    </row>
    <row r="20" spans="1:2" x14ac:dyDescent="0.25">
      <c r="A20" s="190">
        <v>2025</v>
      </c>
      <c r="B20" s="191">
        <v>0.04</v>
      </c>
    </row>
    <row r="21" spans="1:2" x14ac:dyDescent="0.25">
      <c r="A21" s="190">
        <v>2026</v>
      </c>
      <c r="B21" s="191">
        <v>0.04</v>
      </c>
    </row>
    <row r="24" spans="1:2" x14ac:dyDescent="0.25">
      <c r="A24" s="190" t="s">
        <v>322</v>
      </c>
    </row>
    <row r="25" spans="1:2" x14ac:dyDescent="0.25">
      <c r="A25" s="190" t="s">
        <v>323</v>
      </c>
    </row>
    <row r="27" spans="1:2" x14ac:dyDescent="0.25">
      <c r="A27" s="190">
        <v>2022</v>
      </c>
      <c r="B27" s="191">
        <v>0.63</v>
      </c>
    </row>
    <row r="28" spans="1:2" x14ac:dyDescent="0.25">
      <c r="A28" s="190">
        <v>2023</v>
      </c>
      <c r="B28" s="191">
        <v>0.61099999999999999</v>
      </c>
    </row>
    <row r="29" spans="1:2" x14ac:dyDescent="0.25">
      <c r="A29" s="190">
        <v>2024</v>
      </c>
      <c r="B29" s="191">
        <v>0.60699999999999998</v>
      </c>
    </row>
    <row r="30" spans="1:2" x14ac:dyDescent="0.25">
      <c r="A30" s="190">
        <v>2025</v>
      </c>
      <c r="B30" s="191">
        <v>0.59599999999999997</v>
      </c>
    </row>
    <row r="31" spans="1:2" x14ac:dyDescent="0.25">
      <c r="A31" s="190">
        <v>2026</v>
      </c>
      <c r="B31" s="191">
        <v>0.58399999999999996</v>
      </c>
    </row>
    <row r="43" spans="1:2" x14ac:dyDescent="0.25">
      <c r="A43" s="190" t="s">
        <v>324</v>
      </c>
    </row>
    <row r="44" spans="1:2" x14ac:dyDescent="0.25">
      <c r="A44" s="190" t="s">
        <v>325</v>
      </c>
    </row>
    <row r="45" spans="1:2" x14ac:dyDescent="0.25">
      <c r="A45" s="190">
        <v>2024</v>
      </c>
      <c r="B45" s="192">
        <v>3.5299999999999998E-2</v>
      </c>
    </row>
    <row r="46" spans="1:2" x14ac:dyDescent="0.25">
      <c r="A46" s="190">
        <v>2025</v>
      </c>
      <c r="B46" s="192">
        <v>3.7499999999999999E-2</v>
      </c>
    </row>
    <row r="47" spans="1:2" x14ac:dyDescent="0.25">
      <c r="A47" s="190">
        <v>2026</v>
      </c>
      <c r="B47" s="192">
        <v>4.9799999999999997E-2</v>
      </c>
    </row>
    <row r="48" spans="1:2" x14ac:dyDescent="0.25">
      <c r="A48" s="190">
        <v>2027</v>
      </c>
      <c r="B48" s="192">
        <v>5.5300000000000002E-2</v>
      </c>
    </row>
    <row r="49" spans="1:2" x14ac:dyDescent="0.25">
      <c r="A49" s="190">
        <v>2028</v>
      </c>
      <c r="B49" s="192">
        <v>3.1899999999999998E-2</v>
      </c>
    </row>
  </sheetData>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072868-1C00-4071-A278-80FD9082B1AA}">
  <sheetPr>
    <tabColor rgb="FFEE0000"/>
    <pageSetUpPr fitToPage="1"/>
  </sheetPr>
  <dimension ref="A1:L226"/>
  <sheetViews>
    <sheetView showGridLines="0" zoomScale="80" zoomScaleNormal="80" zoomScalePageLayoutView="70" workbookViewId="0">
      <selection activeCell="G217" sqref="G217:H219"/>
    </sheetView>
  </sheetViews>
  <sheetFormatPr baseColWidth="10" defaultColWidth="11.44140625" defaultRowHeight="13.8" x14ac:dyDescent="0.3"/>
  <cols>
    <col min="1" max="1" width="18.5546875" style="1" customWidth="1"/>
    <col min="2" max="2" width="44" style="1" bestFit="1" customWidth="1"/>
    <col min="3" max="3" width="15.77734375" style="2" bestFit="1" customWidth="1"/>
    <col min="4" max="4" width="16" style="2" bestFit="1" customWidth="1"/>
    <col min="5" max="5" width="15.77734375" style="2" bestFit="1" customWidth="1"/>
    <col min="6" max="6" width="2.44140625" style="96" customWidth="1"/>
    <col min="7" max="7" width="8.21875" style="4" customWidth="1"/>
    <col min="8" max="8" width="35.109375" style="13" customWidth="1"/>
    <col min="9" max="9" width="14.77734375" style="14" bestFit="1" customWidth="1"/>
    <col min="10" max="10" width="16" style="14" bestFit="1" customWidth="1"/>
    <col min="11" max="11" width="14.77734375" style="17" bestFit="1" customWidth="1"/>
    <col min="12" max="12" width="15.21875" style="1" bestFit="1" customWidth="1"/>
    <col min="13" max="16384" width="11.44140625" style="1"/>
  </cols>
  <sheetData>
    <row r="1" spans="1:11" x14ac:dyDescent="0.3">
      <c r="F1" s="3"/>
      <c r="H1" s="1"/>
      <c r="I1" s="2"/>
      <c r="J1" s="2"/>
      <c r="K1" s="5"/>
    </row>
    <row r="2" spans="1:11" x14ac:dyDescent="0.3">
      <c r="F2" s="3"/>
      <c r="H2" s="1"/>
      <c r="I2" s="2"/>
      <c r="J2" s="2"/>
      <c r="K2" s="5"/>
    </row>
    <row r="3" spans="1:11" x14ac:dyDescent="0.3">
      <c r="A3" s="242" t="s">
        <v>0</v>
      </c>
      <c r="B3" s="242"/>
      <c r="C3" s="242"/>
      <c r="D3" s="242"/>
      <c r="E3" s="242"/>
      <c r="F3" s="242"/>
      <c r="G3" s="242"/>
      <c r="H3" s="242"/>
      <c r="I3" s="242"/>
      <c r="J3" s="242"/>
      <c r="K3" s="242"/>
    </row>
    <row r="4" spans="1:11" x14ac:dyDescent="0.3">
      <c r="A4" s="243" t="s">
        <v>1</v>
      </c>
      <c r="B4" s="242"/>
      <c r="C4" s="242"/>
      <c r="D4" s="242"/>
      <c r="E4" s="242"/>
      <c r="F4" s="242"/>
      <c r="G4" s="242"/>
      <c r="H4" s="242"/>
      <c r="I4" s="242"/>
      <c r="J4" s="242"/>
      <c r="K4" s="242"/>
    </row>
    <row r="5" spans="1:11" x14ac:dyDescent="0.3">
      <c r="A5" s="242" t="s">
        <v>2</v>
      </c>
      <c r="B5" s="242"/>
      <c r="C5" s="242"/>
      <c r="D5" s="242"/>
      <c r="E5" s="242"/>
      <c r="F5" s="242"/>
      <c r="G5" s="242"/>
      <c r="H5" s="242"/>
      <c r="I5" s="242"/>
      <c r="J5" s="242"/>
      <c r="K5" s="242"/>
    </row>
    <row r="6" spans="1:11" x14ac:dyDescent="0.3">
      <c r="A6" s="242" t="s">
        <v>3</v>
      </c>
      <c r="B6" s="242"/>
      <c r="C6" s="242"/>
      <c r="D6" s="242"/>
      <c r="E6" s="242"/>
      <c r="F6" s="242"/>
      <c r="G6" s="242"/>
      <c r="H6" s="242"/>
      <c r="I6" s="242"/>
      <c r="J6" s="242"/>
      <c r="K6" s="242"/>
    </row>
    <row r="7" spans="1:11" ht="14.4" thickBot="1" x14ac:dyDescent="0.35">
      <c r="A7" s="6"/>
      <c r="B7" s="6"/>
      <c r="C7" s="7"/>
      <c r="D7" s="7"/>
      <c r="F7" s="3"/>
      <c r="H7" s="1"/>
      <c r="I7" s="2"/>
      <c r="J7" s="2"/>
      <c r="K7" s="5"/>
    </row>
    <row r="8" spans="1:11" s="11" customFormat="1" ht="29.25" customHeight="1" thickBot="1" x14ac:dyDescent="0.3">
      <c r="A8" s="244" t="s">
        <v>4</v>
      </c>
      <c r="B8" s="245"/>
      <c r="C8" s="8" t="s">
        <v>5</v>
      </c>
      <c r="D8" s="8" t="s">
        <v>6</v>
      </c>
      <c r="E8" s="8" t="s">
        <v>7</v>
      </c>
      <c r="F8" s="9"/>
      <c r="G8" s="246" t="s">
        <v>8</v>
      </c>
      <c r="H8" s="247"/>
      <c r="I8" s="8" t="s">
        <v>5</v>
      </c>
      <c r="J8" s="8" t="s">
        <v>6</v>
      </c>
      <c r="K8" s="10" t="s">
        <v>7</v>
      </c>
    </row>
    <row r="9" spans="1:11" x14ac:dyDescent="0.3">
      <c r="A9" s="12"/>
      <c r="B9" s="13"/>
      <c r="C9" s="14"/>
      <c r="D9" s="14"/>
      <c r="E9" s="14"/>
      <c r="F9" s="15"/>
      <c r="G9" s="16"/>
      <c r="I9" s="2"/>
    </row>
    <row r="10" spans="1:11" x14ac:dyDescent="0.3">
      <c r="A10" s="18" t="s">
        <v>9</v>
      </c>
      <c r="B10" s="19" t="s">
        <v>10</v>
      </c>
      <c r="C10" s="17">
        <f>+C11+C50</f>
        <v>27621357.440000001</v>
      </c>
      <c r="D10" s="17">
        <f>+D11</f>
        <v>0</v>
      </c>
      <c r="E10" s="17">
        <f>SUM(C10:D10)</f>
        <v>27621357.440000001</v>
      </c>
      <c r="F10" s="15"/>
      <c r="I10" s="2"/>
    </row>
    <row r="11" spans="1:11" hidden="1" x14ac:dyDescent="0.3">
      <c r="A11" s="20" t="s">
        <v>11</v>
      </c>
      <c r="B11" s="21" t="s">
        <v>12</v>
      </c>
      <c r="C11" s="17">
        <f>+C13+C32+C41</f>
        <v>0</v>
      </c>
      <c r="D11" s="17">
        <f>+D13+D32+D41</f>
        <v>0</v>
      </c>
      <c r="E11" s="17">
        <f t="shared" ref="E11:E76" si="0">SUM(C11:D11)</f>
        <v>0</v>
      </c>
      <c r="F11" s="15"/>
      <c r="I11" s="2"/>
    </row>
    <row r="12" spans="1:11" hidden="1" x14ac:dyDescent="0.3">
      <c r="A12" s="20"/>
      <c r="B12" s="22"/>
      <c r="C12" s="14"/>
      <c r="D12" s="14"/>
      <c r="E12" s="14"/>
      <c r="F12" s="15"/>
      <c r="I12" s="2"/>
    </row>
    <row r="13" spans="1:11" hidden="1" x14ac:dyDescent="0.3">
      <c r="A13" s="20" t="s">
        <v>13</v>
      </c>
      <c r="B13" s="23" t="s">
        <v>14</v>
      </c>
      <c r="C13" s="17">
        <f>+C14+C18</f>
        <v>0</v>
      </c>
      <c r="D13" s="17">
        <f>+D14+D18</f>
        <v>0</v>
      </c>
      <c r="E13" s="17">
        <f t="shared" si="0"/>
        <v>0</v>
      </c>
      <c r="F13" s="15"/>
      <c r="I13" s="2"/>
    </row>
    <row r="14" spans="1:11" hidden="1" x14ac:dyDescent="0.3">
      <c r="A14" s="20" t="s">
        <v>15</v>
      </c>
      <c r="B14" s="21" t="s">
        <v>16</v>
      </c>
      <c r="C14" s="17">
        <f>+C15</f>
        <v>0</v>
      </c>
      <c r="D14" s="17">
        <f>+D15</f>
        <v>0</v>
      </c>
      <c r="E14" s="17">
        <f t="shared" si="0"/>
        <v>0</v>
      </c>
      <c r="F14" s="15"/>
      <c r="G14" s="4" t="s">
        <v>17</v>
      </c>
      <c r="H14" s="13" t="s">
        <v>18</v>
      </c>
      <c r="I14" s="2"/>
      <c r="K14" s="17">
        <f>+J14+I14</f>
        <v>0</v>
      </c>
    </row>
    <row r="15" spans="1:11" hidden="1" x14ac:dyDescent="0.3">
      <c r="A15" s="24" t="s">
        <v>19</v>
      </c>
      <c r="B15" s="25" t="s">
        <v>20</v>
      </c>
      <c r="C15" s="14">
        <f>+C16</f>
        <v>0</v>
      </c>
      <c r="D15" s="14">
        <f>+D16</f>
        <v>0</v>
      </c>
      <c r="E15" s="14">
        <f t="shared" si="0"/>
        <v>0</v>
      </c>
      <c r="F15" s="15"/>
      <c r="G15" s="16" t="s">
        <v>21</v>
      </c>
      <c r="H15" s="13" t="s">
        <v>22</v>
      </c>
      <c r="I15" s="2"/>
      <c r="K15" s="17">
        <f>+J15+I15</f>
        <v>0</v>
      </c>
    </row>
    <row r="16" spans="1:11" hidden="1" x14ac:dyDescent="0.3">
      <c r="A16" s="24" t="s">
        <v>23</v>
      </c>
      <c r="B16" s="25" t="s">
        <v>24</v>
      </c>
      <c r="C16" s="14"/>
      <c r="D16" s="14"/>
      <c r="E16" s="14">
        <f t="shared" si="0"/>
        <v>0</v>
      </c>
      <c r="F16" s="15"/>
      <c r="G16" s="16" t="s">
        <v>25</v>
      </c>
      <c r="H16" s="13" t="s">
        <v>26</v>
      </c>
      <c r="I16" s="2"/>
      <c r="K16" s="17">
        <f>+J16+I16</f>
        <v>0</v>
      </c>
    </row>
    <row r="17" spans="1:12" hidden="1" x14ac:dyDescent="0.3">
      <c r="A17" s="20"/>
      <c r="B17" s="21"/>
      <c r="C17" s="14"/>
      <c r="D17" s="14"/>
      <c r="E17" s="14"/>
      <c r="F17" s="15"/>
    </row>
    <row r="18" spans="1:12" ht="10.95" hidden="1" customHeight="1" x14ac:dyDescent="0.3">
      <c r="A18" s="26" t="s">
        <v>27</v>
      </c>
      <c r="B18" s="27" t="s">
        <v>28</v>
      </c>
      <c r="C18" s="14">
        <f>+C19</f>
        <v>0</v>
      </c>
      <c r="D18" s="14">
        <f>+D19</f>
        <v>0</v>
      </c>
      <c r="E18" s="14">
        <f t="shared" si="0"/>
        <v>0</v>
      </c>
      <c r="F18" s="15"/>
      <c r="I18" s="2"/>
    </row>
    <row r="19" spans="1:12" hidden="1" x14ac:dyDescent="0.3">
      <c r="A19" s="28" t="s">
        <v>29</v>
      </c>
      <c r="B19" s="25" t="s">
        <v>30</v>
      </c>
      <c r="C19" s="14">
        <f>SUM(C20:C22)</f>
        <v>0</v>
      </c>
      <c r="D19" s="14">
        <f>SUM(D20:D22)</f>
        <v>0</v>
      </c>
      <c r="E19" s="14">
        <f t="shared" si="0"/>
        <v>0</v>
      </c>
      <c r="F19" s="15"/>
      <c r="G19" s="1"/>
      <c r="I19" s="1"/>
      <c r="J19" s="13"/>
      <c r="K19" s="29"/>
    </row>
    <row r="20" spans="1:12" hidden="1" x14ac:dyDescent="0.3">
      <c r="A20" s="24" t="s">
        <v>31</v>
      </c>
      <c r="B20" s="25" t="s">
        <v>32</v>
      </c>
      <c r="C20" s="17"/>
      <c r="D20" s="17"/>
      <c r="E20" s="17">
        <f t="shared" si="0"/>
        <v>0</v>
      </c>
      <c r="F20" s="15"/>
      <c r="I20" s="2"/>
      <c r="L20" s="2"/>
    </row>
    <row r="21" spans="1:12" hidden="1" x14ac:dyDescent="0.3">
      <c r="A21" s="24" t="s">
        <v>33</v>
      </c>
      <c r="B21" s="25" t="s">
        <v>34</v>
      </c>
      <c r="C21" s="14"/>
      <c r="D21" s="14"/>
      <c r="E21" s="14">
        <f t="shared" si="0"/>
        <v>0</v>
      </c>
      <c r="F21" s="15"/>
      <c r="I21" s="2"/>
    </row>
    <row r="22" spans="1:12" hidden="1" x14ac:dyDescent="0.3">
      <c r="A22" s="24" t="s">
        <v>35</v>
      </c>
      <c r="B22" s="30" t="s">
        <v>36</v>
      </c>
      <c r="C22" s="17"/>
      <c r="D22" s="17"/>
      <c r="E22" s="17">
        <f t="shared" si="0"/>
        <v>0</v>
      </c>
      <c r="F22" s="15"/>
      <c r="I22" s="2"/>
    </row>
    <row r="23" spans="1:12" s="36" customFormat="1" hidden="1" x14ac:dyDescent="0.3">
      <c r="A23" s="31"/>
      <c r="B23" s="32" t="s">
        <v>37</v>
      </c>
      <c r="C23" s="33">
        <f>+C13</f>
        <v>0</v>
      </c>
      <c r="D23" s="33">
        <f>+D13</f>
        <v>0</v>
      </c>
      <c r="E23" s="33">
        <f t="shared" si="0"/>
        <v>0</v>
      </c>
      <c r="F23" s="15"/>
      <c r="G23" s="34"/>
      <c r="H23" s="32" t="s">
        <v>38</v>
      </c>
      <c r="I23" s="35">
        <f>SUM(I14:I16)</f>
        <v>0</v>
      </c>
      <c r="J23" s="33">
        <f>SUM(J14:J16)</f>
        <v>0</v>
      </c>
      <c r="K23" s="33">
        <f>SUM(K14:K16)</f>
        <v>0</v>
      </c>
    </row>
    <row r="24" spans="1:12" hidden="1" x14ac:dyDescent="0.3">
      <c r="A24" s="13"/>
      <c r="B24" s="29"/>
      <c r="C24" s="14"/>
      <c r="D24" s="14"/>
      <c r="E24" s="14"/>
      <c r="F24" s="15"/>
      <c r="I24" s="2"/>
    </row>
    <row r="25" spans="1:12" hidden="1" x14ac:dyDescent="0.3">
      <c r="A25" s="20" t="s">
        <v>39</v>
      </c>
      <c r="B25" s="21" t="s">
        <v>40</v>
      </c>
      <c r="C25" s="17">
        <f>+C26</f>
        <v>0</v>
      </c>
      <c r="D25" s="17">
        <f>+D26</f>
        <v>0</v>
      </c>
      <c r="E25" s="17">
        <f t="shared" si="0"/>
        <v>0</v>
      </c>
      <c r="F25" s="15"/>
      <c r="I25" s="2"/>
    </row>
    <row r="26" spans="1:12" hidden="1" x14ac:dyDescent="0.3">
      <c r="A26" s="26" t="s">
        <v>41</v>
      </c>
      <c r="B26" s="37" t="s">
        <v>42</v>
      </c>
      <c r="C26" s="14">
        <f>+C27</f>
        <v>0</v>
      </c>
      <c r="D26" s="14">
        <f>+D27</f>
        <v>0</v>
      </c>
      <c r="E26" s="14">
        <f t="shared" si="0"/>
        <v>0</v>
      </c>
      <c r="F26" s="15"/>
      <c r="G26" s="16" t="s">
        <v>25</v>
      </c>
      <c r="H26" s="13" t="s">
        <v>26</v>
      </c>
      <c r="I26" s="2">
        <f>+C26</f>
        <v>0</v>
      </c>
      <c r="J26" s="14">
        <f>+D26</f>
        <v>0</v>
      </c>
      <c r="K26" s="17">
        <f>+J26+I26</f>
        <v>0</v>
      </c>
    </row>
    <row r="27" spans="1:12" hidden="1" x14ac:dyDescent="0.3">
      <c r="A27" s="24" t="s">
        <v>43</v>
      </c>
      <c r="B27" s="25" t="s">
        <v>44</v>
      </c>
      <c r="C27" s="14">
        <f>SUM(C28:C29)</f>
        <v>0</v>
      </c>
      <c r="D27" s="14">
        <f>SUM(D28:D29)</f>
        <v>0</v>
      </c>
      <c r="E27" s="14">
        <f t="shared" si="0"/>
        <v>0</v>
      </c>
      <c r="F27" s="15"/>
      <c r="G27" s="16"/>
      <c r="I27" s="2"/>
    </row>
    <row r="28" spans="1:12" hidden="1" x14ac:dyDescent="0.3">
      <c r="A28" s="24" t="s">
        <v>45</v>
      </c>
      <c r="B28" s="25" t="s">
        <v>46</v>
      </c>
      <c r="C28" s="17"/>
      <c r="D28" s="17"/>
      <c r="E28" s="17">
        <f t="shared" si="0"/>
        <v>0</v>
      </c>
      <c r="F28" s="15"/>
      <c r="G28" s="1"/>
      <c r="I28" s="1"/>
      <c r="J28" s="13"/>
      <c r="K28" s="29"/>
      <c r="L28" s="2"/>
    </row>
    <row r="29" spans="1:12" hidden="1" x14ac:dyDescent="0.3">
      <c r="A29" s="24" t="s">
        <v>47</v>
      </c>
      <c r="B29" s="38" t="s">
        <v>48</v>
      </c>
      <c r="C29" s="17"/>
      <c r="D29" s="17"/>
      <c r="E29" s="17">
        <f t="shared" si="0"/>
        <v>0</v>
      </c>
      <c r="F29" s="15"/>
      <c r="H29" s="29"/>
      <c r="I29" s="2"/>
      <c r="J29" s="17"/>
      <c r="L29" s="2"/>
    </row>
    <row r="30" spans="1:12" s="36" customFormat="1" hidden="1" x14ac:dyDescent="0.3">
      <c r="A30" s="39"/>
      <c r="B30" s="32" t="s">
        <v>49</v>
      </c>
      <c r="C30" s="33">
        <f>+C25</f>
        <v>0</v>
      </c>
      <c r="D30" s="33">
        <f>+D25</f>
        <v>0</v>
      </c>
      <c r="E30" s="33">
        <f t="shared" si="0"/>
        <v>0</v>
      </c>
      <c r="F30" s="15"/>
      <c r="G30" s="34"/>
      <c r="H30" s="32" t="s">
        <v>50</v>
      </c>
      <c r="I30" s="35">
        <f>SUM(I22:I27)</f>
        <v>0</v>
      </c>
      <c r="J30" s="33">
        <f>+J26</f>
        <v>0</v>
      </c>
      <c r="K30" s="33">
        <f>SUM(I30:J30)</f>
        <v>0</v>
      </c>
      <c r="L30" s="40"/>
    </row>
    <row r="31" spans="1:12" hidden="1" x14ac:dyDescent="0.3">
      <c r="A31" s="13"/>
      <c r="B31" s="41"/>
      <c r="C31" s="17"/>
      <c r="D31" s="17"/>
      <c r="E31" s="17"/>
      <c r="F31" s="15"/>
      <c r="G31" s="1"/>
      <c r="I31" s="1"/>
      <c r="J31" s="13"/>
      <c r="K31" s="29"/>
      <c r="L31" s="2"/>
    </row>
    <row r="32" spans="1:12" hidden="1" x14ac:dyDescent="0.3">
      <c r="A32" s="20" t="s">
        <v>51</v>
      </c>
      <c r="B32" s="21" t="s">
        <v>52</v>
      </c>
      <c r="C32" s="17">
        <f>+C33</f>
        <v>0</v>
      </c>
      <c r="D32" s="17">
        <f>+D33</f>
        <v>0</v>
      </c>
      <c r="E32" s="17">
        <f t="shared" si="0"/>
        <v>0</v>
      </c>
      <c r="F32" s="15"/>
      <c r="G32" s="1"/>
      <c r="I32" s="1"/>
      <c r="J32" s="13"/>
      <c r="K32" s="29"/>
      <c r="L32" s="2"/>
    </row>
    <row r="33" spans="1:12" hidden="1" x14ac:dyDescent="0.3">
      <c r="A33" s="20" t="s">
        <v>53</v>
      </c>
      <c r="B33" s="21" t="s">
        <v>54</v>
      </c>
      <c r="C33" s="17">
        <f>+C34+C36</f>
        <v>0</v>
      </c>
      <c r="D33" s="17">
        <f>+D34+D36</f>
        <v>0</v>
      </c>
      <c r="E33" s="17">
        <f t="shared" si="0"/>
        <v>0</v>
      </c>
      <c r="F33" s="15"/>
      <c r="G33" s="4" t="s">
        <v>17</v>
      </c>
      <c r="H33" s="13" t="s">
        <v>18</v>
      </c>
      <c r="I33" s="2"/>
      <c r="J33" s="17"/>
      <c r="K33" s="17">
        <f>SUM(I33:J33)</f>
        <v>0</v>
      </c>
      <c r="L33" s="2"/>
    </row>
    <row r="34" spans="1:12" hidden="1" x14ac:dyDescent="0.3">
      <c r="A34" s="26" t="s">
        <v>55</v>
      </c>
      <c r="B34" s="37" t="s">
        <v>56</v>
      </c>
      <c r="C34" s="14">
        <f>+C35</f>
        <v>0</v>
      </c>
      <c r="D34" s="14">
        <f>+D35</f>
        <v>0</v>
      </c>
      <c r="E34" s="14">
        <f t="shared" si="0"/>
        <v>0</v>
      </c>
      <c r="F34" s="15"/>
      <c r="G34" s="16" t="s">
        <v>57</v>
      </c>
      <c r="H34" s="13" t="s">
        <v>58</v>
      </c>
      <c r="I34" s="2"/>
      <c r="J34" s="17"/>
      <c r="K34" s="17">
        <f>SUM(I34:J34)</f>
        <v>0</v>
      </c>
      <c r="L34" s="2"/>
    </row>
    <row r="35" spans="1:12" hidden="1" x14ac:dyDescent="0.3">
      <c r="A35" s="24" t="s">
        <v>59</v>
      </c>
      <c r="B35" s="25" t="s">
        <v>60</v>
      </c>
      <c r="C35" s="14"/>
      <c r="D35" s="17"/>
      <c r="E35" s="17">
        <f t="shared" si="0"/>
        <v>0</v>
      </c>
      <c r="F35" s="15"/>
      <c r="G35" s="16"/>
      <c r="I35" s="2"/>
      <c r="J35" s="17"/>
      <c r="L35" s="2"/>
    </row>
    <row r="36" spans="1:12" hidden="1" x14ac:dyDescent="0.3">
      <c r="A36" s="24" t="s">
        <v>61</v>
      </c>
      <c r="B36" s="25" t="s">
        <v>62</v>
      </c>
      <c r="C36" s="14">
        <f>SUM(C37:C38)</f>
        <v>0</v>
      </c>
      <c r="D36" s="14">
        <f>SUM(D37:D38)</f>
        <v>0</v>
      </c>
      <c r="E36" s="14">
        <f t="shared" si="0"/>
        <v>0</v>
      </c>
      <c r="F36" s="15"/>
      <c r="G36" s="16"/>
      <c r="I36" s="2"/>
      <c r="J36" s="17"/>
      <c r="L36" s="2"/>
    </row>
    <row r="37" spans="1:12" hidden="1" x14ac:dyDescent="0.3">
      <c r="A37" s="24" t="s">
        <v>63</v>
      </c>
      <c r="B37" s="25" t="s">
        <v>64</v>
      </c>
      <c r="C37" s="17"/>
      <c r="D37" s="17"/>
      <c r="E37" s="17">
        <f t="shared" si="0"/>
        <v>0</v>
      </c>
      <c r="F37" s="15"/>
      <c r="G37" s="1"/>
      <c r="I37" s="1"/>
      <c r="J37" s="13"/>
      <c r="K37" s="29"/>
      <c r="L37" s="2"/>
    </row>
    <row r="38" spans="1:12" ht="13.2" hidden="1" customHeight="1" x14ac:dyDescent="0.3">
      <c r="A38" s="28" t="s">
        <v>65</v>
      </c>
      <c r="B38" s="42" t="s">
        <v>66</v>
      </c>
      <c r="C38" s="14"/>
      <c r="D38" s="14"/>
      <c r="E38" s="14">
        <f t="shared" si="0"/>
        <v>0</v>
      </c>
      <c r="F38" s="15"/>
      <c r="I38" s="2"/>
    </row>
    <row r="39" spans="1:12" s="36" customFormat="1" ht="13.2" hidden="1" customHeight="1" x14ac:dyDescent="0.3">
      <c r="A39" s="39"/>
      <c r="B39" s="32" t="s">
        <v>67</v>
      </c>
      <c r="C39" s="33">
        <f>+C33</f>
        <v>0</v>
      </c>
      <c r="D39" s="33">
        <f>+D33</f>
        <v>0</v>
      </c>
      <c r="E39" s="33">
        <f t="shared" si="0"/>
        <v>0</v>
      </c>
      <c r="F39" s="15"/>
      <c r="G39" s="34"/>
      <c r="H39" s="32" t="s">
        <v>68</v>
      </c>
      <c r="I39" s="35">
        <f>SUM(I33:I34)</f>
        <v>0</v>
      </c>
      <c r="J39" s="33"/>
      <c r="K39" s="33">
        <f>SUM(I39:J39)</f>
        <v>0</v>
      </c>
    </row>
    <row r="40" spans="1:12" hidden="1" x14ac:dyDescent="0.3">
      <c r="A40" s="24"/>
      <c r="B40" s="38"/>
      <c r="C40" s="17"/>
      <c r="D40" s="17"/>
      <c r="E40" s="17"/>
      <c r="F40" s="15"/>
      <c r="G40" s="1"/>
      <c r="I40" s="1"/>
      <c r="J40" s="13"/>
      <c r="K40" s="29"/>
    </row>
    <row r="41" spans="1:12" hidden="1" x14ac:dyDescent="0.3">
      <c r="A41" s="20" t="s">
        <v>69</v>
      </c>
      <c r="B41" s="21" t="s">
        <v>70</v>
      </c>
      <c r="C41" s="17">
        <f>+C42+C43</f>
        <v>0</v>
      </c>
      <c r="D41" s="17">
        <f>+D42+D43</f>
        <v>0</v>
      </c>
      <c r="E41" s="17">
        <f t="shared" si="0"/>
        <v>0</v>
      </c>
      <c r="F41" s="15"/>
      <c r="G41" s="1"/>
      <c r="I41" s="1"/>
      <c r="J41" s="13"/>
      <c r="K41" s="29"/>
    </row>
    <row r="42" spans="1:12" hidden="1" x14ac:dyDescent="0.3">
      <c r="A42" s="20" t="s">
        <v>71</v>
      </c>
      <c r="B42" s="23" t="s">
        <v>72</v>
      </c>
      <c r="C42" s="17"/>
      <c r="D42" s="17"/>
      <c r="E42" s="17">
        <f t="shared" si="0"/>
        <v>0</v>
      </c>
      <c r="F42" s="15"/>
      <c r="G42" s="4" t="s">
        <v>17</v>
      </c>
      <c r="H42" s="13" t="s">
        <v>18</v>
      </c>
      <c r="I42" s="2"/>
      <c r="K42" s="17">
        <f>SUM(I42:J42)</f>
        <v>0</v>
      </c>
    </row>
    <row r="43" spans="1:12" hidden="1" x14ac:dyDescent="0.3">
      <c r="A43" s="20" t="s">
        <v>73</v>
      </c>
      <c r="B43" s="21" t="s">
        <v>74</v>
      </c>
      <c r="C43" s="17">
        <f>SUM(C44:C47)</f>
        <v>0</v>
      </c>
      <c r="D43" s="17">
        <f>SUM(D44:D47)</f>
        <v>0</v>
      </c>
      <c r="E43" s="17">
        <f t="shared" si="0"/>
        <v>0</v>
      </c>
      <c r="F43" s="15"/>
      <c r="I43" s="2"/>
    </row>
    <row r="44" spans="1:12" hidden="1" x14ac:dyDescent="0.3">
      <c r="A44" s="24" t="s">
        <v>75</v>
      </c>
      <c r="B44" s="25" t="s">
        <v>76</v>
      </c>
      <c r="C44" s="14"/>
      <c r="D44" s="14"/>
      <c r="E44" s="14">
        <f t="shared" si="0"/>
        <v>0</v>
      </c>
      <c r="F44" s="15"/>
      <c r="G44" s="16" t="s">
        <v>25</v>
      </c>
      <c r="H44" s="13" t="s">
        <v>26</v>
      </c>
      <c r="I44" s="2">
        <f>+C44</f>
        <v>0</v>
      </c>
      <c r="K44" s="17">
        <f>SUM(I44:J44)</f>
        <v>0</v>
      </c>
    </row>
    <row r="45" spans="1:12" hidden="1" x14ac:dyDescent="0.3">
      <c r="A45" s="24" t="s">
        <v>77</v>
      </c>
      <c r="B45" s="25" t="s">
        <v>78</v>
      </c>
      <c r="C45" s="17"/>
      <c r="D45" s="17"/>
      <c r="E45" s="17">
        <f t="shared" si="0"/>
        <v>0</v>
      </c>
      <c r="F45" s="15"/>
      <c r="G45" s="16"/>
      <c r="I45" s="1"/>
      <c r="J45" s="13"/>
      <c r="K45" s="29"/>
      <c r="L45" s="2"/>
    </row>
    <row r="46" spans="1:12" hidden="1" x14ac:dyDescent="0.3">
      <c r="A46" s="24" t="s">
        <v>79</v>
      </c>
      <c r="B46" s="25" t="s">
        <v>80</v>
      </c>
      <c r="C46" s="14"/>
      <c r="D46" s="14"/>
      <c r="E46" s="14">
        <f t="shared" si="0"/>
        <v>0</v>
      </c>
      <c r="F46" s="15"/>
      <c r="I46" s="2"/>
      <c r="L46" s="2"/>
    </row>
    <row r="47" spans="1:12" hidden="1" x14ac:dyDescent="0.3">
      <c r="A47" s="24" t="s">
        <v>81</v>
      </c>
      <c r="B47" s="25" t="s">
        <v>82</v>
      </c>
      <c r="C47" s="17"/>
      <c r="D47" s="17"/>
      <c r="E47" s="17">
        <f t="shared" si="0"/>
        <v>0</v>
      </c>
      <c r="F47" s="15"/>
      <c r="G47" s="16"/>
      <c r="I47" s="2"/>
    </row>
    <row r="48" spans="1:12" s="36" customFormat="1" hidden="1" x14ac:dyDescent="0.3">
      <c r="A48" s="39"/>
      <c r="B48" s="43" t="s">
        <v>83</v>
      </c>
      <c r="C48" s="33">
        <f>+C43</f>
        <v>0</v>
      </c>
      <c r="D48" s="33">
        <f>+D43</f>
        <v>0</v>
      </c>
      <c r="E48" s="33">
        <f t="shared" si="0"/>
        <v>0</v>
      </c>
      <c r="F48" s="15"/>
      <c r="G48" s="44"/>
      <c r="H48" s="43" t="s">
        <v>84</v>
      </c>
      <c r="I48" s="35">
        <f>+I42</f>
        <v>0</v>
      </c>
      <c r="J48" s="33">
        <f>+J44</f>
        <v>0</v>
      </c>
      <c r="K48" s="33">
        <f>SUM(I48:J48)</f>
        <v>0</v>
      </c>
    </row>
    <row r="49" spans="1:12" x14ac:dyDescent="0.3">
      <c r="A49" s="24"/>
      <c r="B49" s="38"/>
      <c r="C49" s="14"/>
      <c r="D49" s="14"/>
      <c r="E49" s="14"/>
      <c r="F49" s="15"/>
      <c r="G49" s="45"/>
      <c r="I49" s="2"/>
    </row>
    <row r="50" spans="1:12" x14ac:dyDescent="0.3">
      <c r="A50" s="20" t="s">
        <v>85</v>
      </c>
      <c r="B50" s="21" t="s">
        <v>86</v>
      </c>
      <c r="C50" s="17">
        <f>+C51+C85+C91</f>
        <v>27621357.440000001</v>
      </c>
      <c r="D50" s="17">
        <f t="shared" ref="D50:E50" si="1">+D51+D85+D91</f>
        <v>0</v>
      </c>
      <c r="E50" s="17">
        <f t="shared" si="1"/>
        <v>27621357.440000001</v>
      </c>
      <c r="F50" s="15"/>
      <c r="G50" s="16"/>
      <c r="I50" s="2"/>
      <c r="L50" s="2"/>
    </row>
    <row r="51" spans="1:12" hidden="1" x14ac:dyDescent="0.3">
      <c r="A51" s="20" t="s">
        <v>87</v>
      </c>
      <c r="B51" s="21" t="s">
        <v>88</v>
      </c>
      <c r="C51" s="17">
        <f>+C52+C58+C64+C72+C76+C81</f>
        <v>273000</v>
      </c>
      <c r="D51" s="17">
        <f t="shared" ref="D51:E51" si="2">+D52+D58+D64+D72+D76+D81</f>
        <v>0</v>
      </c>
      <c r="E51" s="17">
        <f t="shared" si="2"/>
        <v>273000</v>
      </c>
      <c r="F51" s="15"/>
      <c r="G51" s="4" t="s">
        <v>17</v>
      </c>
      <c r="H51" s="13" t="s">
        <v>18</v>
      </c>
      <c r="I51" s="2"/>
      <c r="J51" s="14">
        <v>0</v>
      </c>
      <c r="K51" s="17">
        <f t="shared" ref="K51:K56" si="3">+J51+I51</f>
        <v>0</v>
      </c>
    </row>
    <row r="52" spans="1:12" hidden="1" x14ac:dyDescent="0.3">
      <c r="A52" s="20" t="s">
        <v>89</v>
      </c>
      <c r="B52" s="21" t="s">
        <v>90</v>
      </c>
      <c r="C52" s="17">
        <f>SUM(C53:C55)</f>
        <v>0</v>
      </c>
      <c r="D52" s="17">
        <f>SUM(D53:D55)</f>
        <v>0</v>
      </c>
      <c r="E52" s="17">
        <f t="shared" si="0"/>
        <v>0</v>
      </c>
      <c r="F52" s="15"/>
      <c r="G52" s="16" t="s">
        <v>57</v>
      </c>
      <c r="H52" s="13" t="s">
        <v>58</v>
      </c>
      <c r="I52" s="2"/>
      <c r="J52" s="14">
        <v>0</v>
      </c>
      <c r="K52" s="17">
        <f t="shared" si="3"/>
        <v>0</v>
      </c>
    </row>
    <row r="53" spans="1:12" hidden="1" x14ac:dyDescent="0.3">
      <c r="A53" s="24" t="s">
        <v>91</v>
      </c>
      <c r="B53" s="25" t="s">
        <v>92</v>
      </c>
      <c r="C53" s="14">
        <f>+'[1]INGRESOS  AUMENTOS'!C46</f>
        <v>0</v>
      </c>
      <c r="D53" s="14"/>
      <c r="E53" s="14">
        <f>SUM(C53:D53)</f>
        <v>0</v>
      </c>
      <c r="F53" s="15"/>
      <c r="G53" s="16" t="s">
        <v>21</v>
      </c>
      <c r="H53" s="13" t="s">
        <v>22</v>
      </c>
      <c r="I53" s="2"/>
      <c r="K53" s="17">
        <f t="shared" si="3"/>
        <v>0</v>
      </c>
    </row>
    <row r="54" spans="1:12" hidden="1" x14ac:dyDescent="0.3">
      <c r="C54" s="1"/>
      <c r="D54" s="1"/>
      <c r="E54" s="1"/>
      <c r="F54" s="15"/>
      <c r="G54" s="16" t="s">
        <v>25</v>
      </c>
      <c r="H54" s="13" t="s">
        <v>26</v>
      </c>
      <c r="I54" s="2"/>
      <c r="K54" s="17">
        <f t="shared" si="3"/>
        <v>0</v>
      </c>
    </row>
    <row r="55" spans="1:12" hidden="1" x14ac:dyDescent="0.3">
      <c r="A55" s="24" t="s">
        <v>93</v>
      </c>
      <c r="B55" s="46" t="s">
        <v>94</v>
      </c>
      <c r="C55" s="14">
        <f>+'[1]INGRESOS  AUMENTOS'!C47</f>
        <v>0</v>
      </c>
      <c r="D55" s="14"/>
      <c r="E55" s="14">
        <f t="shared" si="0"/>
        <v>0</v>
      </c>
      <c r="F55" s="15"/>
      <c r="G55" s="1"/>
      <c r="H55" s="1"/>
    </row>
    <row r="56" spans="1:12" s="36" customFormat="1" hidden="1" x14ac:dyDescent="0.3">
      <c r="A56" s="39"/>
      <c r="B56" s="32" t="s">
        <v>95</v>
      </c>
      <c r="C56" s="33">
        <f>+C52</f>
        <v>0</v>
      </c>
      <c r="D56" s="33">
        <f>+D52</f>
        <v>0</v>
      </c>
      <c r="E56" s="33">
        <f t="shared" si="0"/>
        <v>0</v>
      </c>
      <c r="F56" s="15"/>
      <c r="G56" s="34"/>
      <c r="H56" s="32" t="s">
        <v>96</v>
      </c>
      <c r="I56" s="35">
        <f>SUM(I50:I54)</f>
        <v>0</v>
      </c>
      <c r="J56" s="33">
        <f>SUM(J50:J54)</f>
        <v>0</v>
      </c>
      <c r="K56" s="33">
        <f t="shared" si="3"/>
        <v>0</v>
      </c>
      <c r="L56" s="40"/>
    </row>
    <row r="57" spans="1:12" hidden="1" x14ac:dyDescent="0.3">
      <c r="A57" s="24"/>
      <c r="B57" s="38"/>
      <c r="C57" s="17"/>
      <c r="D57" s="17"/>
      <c r="E57" s="17"/>
      <c r="F57" s="15"/>
      <c r="H57" s="29"/>
      <c r="I57" s="5"/>
      <c r="J57" s="17"/>
      <c r="L57" s="2"/>
    </row>
    <row r="58" spans="1:12" hidden="1" x14ac:dyDescent="0.3">
      <c r="A58" s="20" t="s">
        <v>97</v>
      </c>
      <c r="B58" s="22" t="s">
        <v>98</v>
      </c>
      <c r="C58" s="17">
        <f>SUM(C59:C60)</f>
        <v>0</v>
      </c>
      <c r="D58" s="17">
        <f>SUM(D59:D60)</f>
        <v>0</v>
      </c>
      <c r="E58" s="17">
        <f t="shared" si="0"/>
        <v>0</v>
      </c>
      <c r="F58" s="15"/>
      <c r="I58" s="2"/>
      <c r="L58" s="2"/>
    </row>
    <row r="59" spans="1:12" hidden="1" x14ac:dyDescent="0.3">
      <c r="A59" s="24" t="s">
        <v>99</v>
      </c>
      <c r="B59" s="38" t="s">
        <v>36</v>
      </c>
      <c r="C59" s="17"/>
      <c r="D59" s="17"/>
      <c r="E59" s="17">
        <f t="shared" si="0"/>
        <v>0</v>
      </c>
      <c r="F59" s="15"/>
      <c r="G59" s="16" t="s">
        <v>17</v>
      </c>
      <c r="H59" s="13" t="s">
        <v>18</v>
      </c>
      <c r="I59" s="2"/>
      <c r="K59" s="17">
        <f>+J76+I59</f>
        <v>0</v>
      </c>
    </row>
    <row r="60" spans="1:12" hidden="1" x14ac:dyDescent="0.3">
      <c r="A60" s="24" t="s">
        <v>100</v>
      </c>
      <c r="B60" s="47" t="s">
        <v>101</v>
      </c>
      <c r="C60" s="14"/>
      <c r="D60" s="48"/>
      <c r="E60" s="14">
        <f t="shared" si="0"/>
        <v>0</v>
      </c>
      <c r="F60" s="49"/>
      <c r="G60" s="16" t="s">
        <v>57</v>
      </c>
      <c r="H60" s="13" t="s">
        <v>58</v>
      </c>
      <c r="I60" s="1"/>
      <c r="K60" s="17">
        <f>+J77+I60</f>
        <v>0</v>
      </c>
    </row>
    <row r="61" spans="1:12" hidden="1" x14ac:dyDescent="0.3">
      <c r="A61" s="14"/>
      <c r="B61" s="2"/>
      <c r="C61" s="14"/>
      <c r="D61" s="48"/>
      <c r="E61" s="14"/>
      <c r="F61" s="49"/>
      <c r="G61" s="16" t="s">
        <v>21</v>
      </c>
      <c r="H61" s="13" t="s">
        <v>22</v>
      </c>
      <c r="I61" s="1"/>
      <c r="K61" s="17">
        <f>+J78+I61</f>
        <v>0</v>
      </c>
    </row>
    <row r="62" spans="1:12" s="36" customFormat="1" hidden="1" x14ac:dyDescent="0.3">
      <c r="A62" s="50"/>
      <c r="B62" s="51" t="s">
        <v>102</v>
      </c>
      <c r="C62" s="33">
        <f>+C58</f>
        <v>0</v>
      </c>
      <c r="D62" s="52">
        <f>+D58</f>
        <v>0</v>
      </c>
      <c r="E62" s="33">
        <f t="shared" si="0"/>
        <v>0</v>
      </c>
      <c r="F62" s="49"/>
      <c r="G62" s="34"/>
      <c r="H62" s="32" t="s">
        <v>103</v>
      </c>
      <c r="I62" s="35"/>
      <c r="J62" s="33"/>
      <c r="K62" s="33">
        <f>+J62+I62</f>
        <v>0</v>
      </c>
    </row>
    <row r="63" spans="1:12" hidden="1" x14ac:dyDescent="0.3">
      <c r="A63" s="14"/>
      <c r="B63" s="53"/>
      <c r="C63" s="14"/>
      <c r="D63" s="48"/>
      <c r="E63" s="14"/>
      <c r="F63" s="49"/>
      <c r="H63" s="29"/>
      <c r="I63" s="5"/>
      <c r="J63" s="17"/>
    </row>
    <row r="64" spans="1:12" x14ac:dyDescent="0.3">
      <c r="A64" s="20" t="s">
        <v>104</v>
      </c>
      <c r="B64" s="54" t="s">
        <v>105</v>
      </c>
      <c r="C64" s="17">
        <f>SUM(C65:C68)</f>
        <v>273000</v>
      </c>
      <c r="D64" s="55">
        <f>SUM(D65:D67)</f>
        <v>0</v>
      </c>
      <c r="E64" s="17">
        <f t="shared" si="0"/>
        <v>273000</v>
      </c>
      <c r="F64" s="15"/>
      <c r="G64" s="16" t="s">
        <v>17</v>
      </c>
      <c r="H64" s="13" t="s">
        <v>18</v>
      </c>
      <c r="I64" s="2">
        <f>+'[1]resumen general '!N14</f>
        <v>273000</v>
      </c>
      <c r="K64" s="17">
        <f>SUM(I64:J64)</f>
        <v>273000</v>
      </c>
      <c r="L64" s="2"/>
    </row>
    <row r="65" spans="1:12" hidden="1" x14ac:dyDescent="0.3">
      <c r="A65" s="24" t="s">
        <v>106</v>
      </c>
      <c r="B65" s="56" t="s">
        <v>107</v>
      </c>
      <c r="C65" s="17"/>
      <c r="D65" s="48"/>
      <c r="E65" s="14">
        <f t="shared" si="0"/>
        <v>0</v>
      </c>
      <c r="F65" s="49"/>
      <c r="G65" s="16" t="s">
        <v>57</v>
      </c>
      <c r="H65" s="13" t="s">
        <v>58</v>
      </c>
      <c r="I65" s="2"/>
    </row>
    <row r="66" spans="1:12" hidden="1" x14ac:dyDescent="0.3">
      <c r="A66" s="24" t="s">
        <v>108</v>
      </c>
      <c r="B66" s="56" t="s">
        <v>109</v>
      </c>
      <c r="C66" s="17">
        <f>+'[1]INGRESOS  AUMENTOS'!C55</f>
        <v>0</v>
      </c>
      <c r="D66" s="55"/>
      <c r="E66" s="17">
        <f t="shared" si="0"/>
        <v>0</v>
      </c>
      <c r="F66" s="49"/>
      <c r="G66" s="16" t="s">
        <v>25</v>
      </c>
      <c r="H66" s="13" t="s">
        <v>26</v>
      </c>
      <c r="I66" s="2">
        <f>+C66</f>
        <v>0</v>
      </c>
      <c r="J66" s="14">
        <v>0</v>
      </c>
      <c r="K66" s="17">
        <f>+J66+I66</f>
        <v>0</v>
      </c>
    </row>
    <row r="67" spans="1:12" hidden="1" x14ac:dyDescent="0.3">
      <c r="A67" s="24" t="s">
        <v>110</v>
      </c>
      <c r="B67" s="56" t="s">
        <v>111</v>
      </c>
      <c r="C67" s="14"/>
      <c r="E67" s="14">
        <f t="shared" si="0"/>
        <v>0</v>
      </c>
      <c r="F67" s="49"/>
      <c r="L67" s="2"/>
    </row>
    <row r="68" spans="1:12" x14ac:dyDescent="0.3">
      <c r="A68" s="24" t="s">
        <v>112</v>
      </c>
      <c r="B68" s="38" t="s">
        <v>113</v>
      </c>
      <c r="C68" s="14">
        <f>+'[1]INGRESOS  AUMENTOS'!C57</f>
        <v>273000</v>
      </c>
      <c r="E68" s="14">
        <f t="shared" si="0"/>
        <v>273000</v>
      </c>
      <c r="F68" s="49"/>
      <c r="I68" s="2"/>
      <c r="L68" s="2"/>
    </row>
    <row r="69" spans="1:12" x14ac:dyDescent="0.3">
      <c r="A69" s="24"/>
      <c r="B69" s="57"/>
      <c r="C69" s="14"/>
      <c r="E69" s="14"/>
      <c r="F69" s="49"/>
      <c r="G69" s="16"/>
      <c r="I69" s="2"/>
    </row>
    <row r="70" spans="1:12" s="36" customFormat="1" x14ac:dyDescent="0.3">
      <c r="B70" s="51" t="s">
        <v>114</v>
      </c>
      <c r="C70" s="33">
        <f>+C64</f>
        <v>273000</v>
      </c>
      <c r="D70" s="35">
        <f>+D64</f>
        <v>0</v>
      </c>
      <c r="E70" s="33">
        <f t="shared" si="0"/>
        <v>273000</v>
      </c>
      <c r="F70" s="49"/>
      <c r="G70" s="34"/>
      <c r="H70" s="32" t="s">
        <v>115</v>
      </c>
      <c r="I70" s="35">
        <f>SUM(I64:I69)</f>
        <v>273000</v>
      </c>
      <c r="J70" s="33">
        <f>SUM(J65:J69)</f>
        <v>0</v>
      </c>
      <c r="K70" s="33">
        <f>SUM(K64:K69)</f>
        <v>273000</v>
      </c>
    </row>
    <row r="71" spans="1:12" hidden="1" x14ac:dyDescent="0.3">
      <c r="C71" s="13"/>
      <c r="D71" s="1"/>
      <c r="E71" s="13"/>
      <c r="F71" s="49"/>
      <c r="G71" s="1"/>
      <c r="I71" s="1"/>
      <c r="J71" s="13"/>
      <c r="K71" s="29"/>
    </row>
    <row r="72" spans="1:12" hidden="1" x14ac:dyDescent="0.3">
      <c r="A72" s="20" t="s">
        <v>116</v>
      </c>
      <c r="B72" s="58" t="s">
        <v>117</v>
      </c>
      <c r="C72" s="17">
        <f>+C73</f>
        <v>0</v>
      </c>
      <c r="D72" s="5">
        <f>+D73</f>
        <v>0</v>
      </c>
      <c r="E72" s="17">
        <f t="shared" si="0"/>
        <v>0</v>
      </c>
      <c r="F72" s="49"/>
      <c r="G72" s="16" t="s">
        <v>17</v>
      </c>
      <c r="H72" s="13" t="s">
        <v>18</v>
      </c>
      <c r="I72" s="5"/>
      <c r="J72" s="17">
        <f>+D78</f>
        <v>0</v>
      </c>
      <c r="K72" s="17">
        <f>+J72</f>
        <v>0</v>
      </c>
    </row>
    <row r="73" spans="1:12" hidden="1" x14ac:dyDescent="0.3">
      <c r="A73" s="24" t="s">
        <v>118</v>
      </c>
      <c r="B73" s="57" t="s">
        <v>119</v>
      </c>
      <c r="C73" s="14"/>
      <c r="E73" s="14">
        <f t="shared" si="0"/>
        <v>0</v>
      </c>
      <c r="F73" s="49"/>
      <c r="G73" s="1"/>
      <c r="I73" s="1"/>
      <c r="J73" s="13"/>
      <c r="K73" s="29"/>
    </row>
    <row r="74" spans="1:12" s="36" customFormat="1" hidden="1" x14ac:dyDescent="0.3">
      <c r="A74" s="39"/>
      <c r="B74" s="51" t="s">
        <v>120</v>
      </c>
      <c r="C74" s="33">
        <f>+C72</f>
        <v>0</v>
      </c>
      <c r="D74" s="35">
        <f>+D72</f>
        <v>0</v>
      </c>
      <c r="E74" s="33">
        <f t="shared" si="0"/>
        <v>0</v>
      </c>
      <c r="F74" s="49"/>
      <c r="G74" s="34"/>
      <c r="H74" s="32" t="s">
        <v>121</v>
      </c>
      <c r="I74" s="35"/>
      <c r="J74" s="33">
        <f>+J72</f>
        <v>0</v>
      </c>
      <c r="K74" s="33">
        <f>+K72</f>
        <v>0</v>
      </c>
    </row>
    <row r="75" spans="1:12" hidden="1" x14ac:dyDescent="0.3">
      <c r="A75" s="24"/>
      <c r="B75" s="45"/>
      <c r="C75" s="17"/>
      <c r="D75" s="5"/>
      <c r="E75" s="17"/>
      <c r="F75" s="49"/>
      <c r="H75" s="29"/>
      <c r="I75" s="5"/>
      <c r="J75" s="17"/>
    </row>
    <row r="76" spans="1:12" hidden="1" x14ac:dyDescent="0.3">
      <c r="A76" s="20" t="s">
        <v>122</v>
      </c>
      <c r="B76" s="58" t="s">
        <v>123</v>
      </c>
      <c r="C76" s="17">
        <f>+C77</f>
        <v>0</v>
      </c>
      <c r="D76" s="5">
        <f>+D77</f>
        <v>0</v>
      </c>
      <c r="E76" s="17">
        <f t="shared" si="0"/>
        <v>0</v>
      </c>
      <c r="F76" s="49"/>
      <c r="G76" s="59" t="s">
        <v>17</v>
      </c>
      <c r="H76" s="14" t="s">
        <v>18</v>
      </c>
      <c r="I76" s="2"/>
      <c r="K76" s="17">
        <f>+J76+I76</f>
        <v>0</v>
      </c>
    </row>
    <row r="77" spans="1:12" hidden="1" x14ac:dyDescent="0.3">
      <c r="A77" s="24" t="s">
        <v>124</v>
      </c>
      <c r="B77" s="57" t="s">
        <v>125</v>
      </c>
      <c r="C77" s="17"/>
      <c r="D77" s="60"/>
      <c r="E77" s="17">
        <f t="shared" ref="E77:E109" si="4">SUM(C77:D77)</f>
        <v>0</v>
      </c>
      <c r="F77" s="49"/>
      <c r="G77" s="59" t="s">
        <v>57</v>
      </c>
      <c r="H77" s="14" t="s">
        <v>58</v>
      </c>
      <c r="I77" s="2"/>
      <c r="K77" s="17">
        <f>+J77+I77</f>
        <v>0</v>
      </c>
    </row>
    <row r="78" spans="1:12" hidden="1" x14ac:dyDescent="0.3">
      <c r="A78" s="61"/>
      <c r="B78" s="57"/>
      <c r="C78" s="17"/>
      <c r="D78" s="60"/>
      <c r="E78" s="17"/>
      <c r="F78" s="49"/>
      <c r="G78" s="59" t="s">
        <v>21</v>
      </c>
      <c r="H78" s="14" t="s">
        <v>22</v>
      </c>
      <c r="I78" s="1"/>
      <c r="K78" s="17">
        <f>+J78+I78</f>
        <v>0</v>
      </c>
    </row>
    <row r="79" spans="1:12" s="36" customFormat="1" hidden="1" x14ac:dyDescent="0.3">
      <c r="B79" s="62" t="s">
        <v>126</v>
      </c>
      <c r="C79" s="33">
        <f>+C76</f>
        <v>0</v>
      </c>
      <c r="D79" s="63">
        <f>+D76</f>
        <v>0</v>
      </c>
      <c r="E79" s="33">
        <f t="shared" si="4"/>
        <v>0</v>
      </c>
      <c r="F79" s="49"/>
      <c r="G79" s="34"/>
      <c r="H79" s="43" t="s">
        <v>127</v>
      </c>
      <c r="I79" s="35"/>
      <c r="J79" s="33"/>
      <c r="K79" s="33">
        <f>+J79+I79</f>
        <v>0</v>
      </c>
    </row>
    <row r="80" spans="1:12" hidden="1" x14ac:dyDescent="0.3">
      <c r="C80" s="13"/>
      <c r="D80" s="59"/>
      <c r="E80" s="13"/>
      <c r="F80" s="49"/>
      <c r="G80" s="1"/>
      <c r="I80" s="1"/>
      <c r="J80" s="13"/>
      <c r="K80" s="29"/>
    </row>
    <row r="81" spans="1:11" hidden="1" x14ac:dyDescent="0.3">
      <c r="A81" s="20" t="s">
        <v>128</v>
      </c>
      <c r="B81" s="5" t="s">
        <v>129</v>
      </c>
      <c r="C81" s="17">
        <f>+C82</f>
        <v>0</v>
      </c>
      <c r="D81" s="60">
        <f>+D82</f>
        <v>0</v>
      </c>
      <c r="E81" s="17">
        <f t="shared" si="4"/>
        <v>0</v>
      </c>
      <c r="F81" s="49"/>
      <c r="G81" s="16" t="s">
        <v>25</v>
      </c>
      <c r="H81" s="13" t="s">
        <v>26</v>
      </c>
      <c r="I81" s="2"/>
      <c r="J81" s="14">
        <f>+D93</f>
        <v>0</v>
      </c>
      <c r="K81" s="17">
        <f>+J81+I81</f>
        <v>0</v>
      </c>
    </row>
    <row r="82" spans="1:11" hidden="1" x14ac:dyDescent="0.3">
      <c r="A82" s="24" t="s">
        <v>130</v>
      </c>
      <c r="B82" s="57" t="s">
        <v>131</v>
      </c>
      <c r="C82" s="17"/>
      <c r="D82" s="60"/>
      <c r="E82" s="17">
        <f t="shared" si="4"/>
        <v>0</v>
      </c>
      <c r="F82" s="49"/>
      <c r="G82" s="1"/>
      <c r="I82" s="1"/>
      <c r="J82" s="13"/>
      <c r="K82" s="29"/>
    </row>
    <row r="83" spans="1:11" s="36" customFormat="1" hidden="1" x14ac:dyDescent="0.3">
      <c r="A83" s="39"/>
      <c r="B83" s="51" t="s">
        <v>132</v>
      </c>
      <c r="C83" s="33">
        <f>+C81</f>
        <v>0</v>
      </c>
      <c r="D83" s="63">
        <f>+D81</f>
        <v>0</v>
      </c>
      <c r="E83" s="33">
        <f t="shared" si="4"/>
        <v>0</v>
      </c>
      <c r="F83" s="49"/>
      <c r="G83" s="34"/>
      <c r="H83" s="32" t="s">
        <v>133</v>
      </c>
      <c r="I83" s="35"/>
      <c r="J83" s="33">
        <f>+J81</f>
        <v>0</v>
      </c>
      <c r="K83" s="33">
        <f>+J83+I83</f>
        <v>0</v>
      </c>
    </row>
    <row r="84" spans="1:11" hidden="1" x14ac:dyDescent="0.3">
      <c r="A84" s="64"/>
      <c r="B84" s="53"/>
      <c r="C84" s="17"/>
      <c r="D84" s="60"/>
      <c r="E84" s="17"/>
      <c r="F84" s="49"/>
      <c r="G84" s="16"/>
      <c r="H84" s="29"/>
      <c r="I84" s="5"/>
      <c r="J84" s="17"/>
    </row>
    <row r="85" spans="1:11" hidden="1" x14ac:dyDescent="0.3">
      <c r="A85" s="65" t="s">
        <v>134</v>
      </c>
      <c r="B85" s="66" t="s">
        <v>135</v>
      </c>
      <c r="C85" s="17">
        <f>+C86</f>
        <v>0</v>
      </c>
      <c r="D85" s="60">
        <f>+D86</f>
        <v>0</v>
      </c>
      <c r="E85" s="17">
        <f t="shared" si="4"/>
        <v>0</v>
      </c>
      <c r="F85" s="49"/>
      <c r="G85" s="16" t="s">
        <v>136</v>
      </c>
      <c r="H85" s="13" t="s">
        <v>137</v>
      </c>
      <c r="I85" s="2"/>
      <c r="K85" s="17">
        <f>+J85+I85</f>
        <v>0</v>
      </c>
    </row>
    <row r="86" spans="1:11" hidden="1" x14ac:dyDescent="0.3">
      <c r="A86" s="24" t="s">
        <v>138</v>
      </c>
      <c r="B86" s="38" t="s">
        <v>139</v>
      </c>
      <c r="C86" s="14"/>
      <c r="D86" s="47"/>
      <c r="E86" s="14">
        <f t="shared" si="4"/>
        <v>0</v>
      </c>
      <c r="F86" s="49"/>
      <c r="G86" s="16" t="s">
        <v>17</v>
      </c>
      <c r="H86" s="13" t="s">
        <v>18</v>
      </c>
      <c r="I86" s="2"/>
      <c r="K86" s="17">
        <f>+J86+I86</f>
        <v>0</v>
      </c>
    </row>
    <row r="87" spans="1:11" hidden="1" x14ac:dyDescent="0.3">
      <c r="A87" s="24"/>
      <c r="B87" s="38"/>
      <c r="C87" s="17"/>
      <c r="D87" s="60"/>
      <c r="E87" s="17"/>
      <c r="F87" s="49"/>
      <c r="G87" s="16" t="s">
        <v>21</v>
      </c>
      <c r="H87" s="13" t="s">
        <v>22</v>
      </c>
      <c r="I87" s="2"/>
      <c r="K87" s="17">
        <f>+J87+I87</f>
        <v>0</v>
      </c>
    </row>
    <row r="88" spans="1:11" hidden="1" x14ac:dyDescent="0.3">
      <c r="A88" s="24"/>
      <c r="B88" s="38"/>
      <c r="C88" s="17"/>
      <c r="D88" s="60"/>
      <c r="E88" s="17"/>
      <c r="F88" s="49"/>
      <c r="G88" s="16" t="s">
        <v>25</v>
      </c>
      <c r="H88" s="13" t="s">
        <v>26</v>
      </c>
      <c r="I88" s="2"/>
      <c r="K88" s="17">
        <f>+J88+I88</f>
        <v>0</v>
      </c>
    </row>
    <row r="89" spans="1:11" s="36" customFormat="1" hidden="1" x14ac:dyDescent="0.3">
      <c r="A89" s="39"/>
      <c r="B89" s="32" t="s">
        <v>140</v>
      </c>
      <c r="C89" s="33">
        <f>+C85</f>
        <v>0</v>
      </c>
      <c r="D89" s="63">
        <f>+D85</f>
        <v>0</v>
      </c>
      <c r="E89" s="33">
        <f t="shared" si="4"/>
        <v>0</v>
      </c>
      <c r="F89" s="49"/>
      <c r="G89" s="34"/>
      <c r="H89" s="32" t="s">
        <v>141</v>
      </c>
      <c r="I89" s="35">
        <f>SUM(I85:I88)</f>
        <v>0</v>
      </c>
      <c r="J89" s="33">
        <f>SUM(J85:J88)</f>
        <v>0</v>
      </c>
      <c r="K89" s="33">
        <f>SUM(K85:K88)</f>
        <v>0</v>
      </c>
    </row>
    <row r="90" spans="1:11" x14ac:dyDescent="0.3">
      <c r="A90" s="24"/>
      <c r="B90" s="38"/>
      <c r="C90" s="17"/>
      <c r="D90" s="60"/>
      <c r="E90" s="17"/>
      <c r="F90" s="49"/>
      <c r="G90" s="1"/>
      <c r="I90" s="1"/>
      <c r="J90" s="13"/>
      <c r="K90" s="29"/>
    </row>
    <row r="91" spans="1:11" x14ac:dyDescent="0.3">
      <c r="A91" s="67" t="s">
        <v>142</v>
      </c>
      <c r="B91" s="21" t="s">
        <v>143</v>
      </c>
      <c r="C91" s="17">
        <f>SUM(C92:C93)</f>
        <v>27348357.440000001</v>
      </c>
      <c r="D91" s="60">
        <f>SUM(D92:D93)</f>
        <v>0</v>
      </c>
      <c r="E91" s="17">
        <f t="shared" si="4"/>
        <v>27348357.440000001</v>
      </c>
      <c r="F91" s="49"/>
      <c r="G91" s="16" t="s">
        <v>17</v>
      </c>
      <c r="H91" s="13" t="s">
        <v>18</v>
      </c>
      <c r="I91" s="2">
        <v>8931822.4370000008</v>
      </c>
      <c r="K91" s="17">
        <f>SUM(I91:J91)</f>
        <v>8931822.4370000008</v>
      </c>
    </row>
    <row r="92" spans="1:11" x14ac:dyDescent="0.3">
      <c r="A92" s="67" t="s">
        <v>144</v>
      </c>
      <c r="B92" s="21" t="s">
        <v>145</v>
      </c>
      <c r="C92" s="17">
        <f>+'[1]INGRESOS  AUMENTOS'!C72</f>
        <v>27348357.440000001</v>
      </c>
      <c r="D92" s="60"/>
      <c r="E92" s="17">
        <f t="shared" si="4"/>
        <v>27348357.440000001</v>
      </c>
      <c r="F92" s="49"/>
      <c r="G92" s="16" t="s">
        <v>57</v>
      </c>
      <c r="H92" s="13" t="s">
        <v>58</v>
      </c>
      <c r="I92" s="2">
        <v>2278935</v>
      </c>
      <c r="J92" s="13"/>
      <c r="K92" s="17">
        <f t="shared" ref="K92:K93" si="5">SUM(I92:J92)</f>
        <v>2278935</v>
      </c>
    </row>
    <row r="93" spans="1:11" x14ac:dyDescent="0.3">
      <c r="A93" s="67" t="s">
        <v>146</v>
      </c>
      <c r="B93" s="21" t="s">
        <v>147</v>
      </c>
      <c r="C93" s="14"/>
      <c r="D93" s="47"/>
      <c r="E93" s="14">
        <f t="shared" si="4"/>
        <v>0</v>
      </c>
      <c r="F93" s="49"/>
      <c r="G93" s="16" t="s">
        <v>25</v>
      </c>
      <c r="H93" s="13" t="s">
        <v>26</v>
      </c>
      <c r="I93" s="2">
        <v>16137600</v>
      </c>
      <c r="J93" s="13"/>
      <c r="K93" s="17">
        <f t="shared" si="5"/>
        <v>16137600</v>
      </c>
    </row>
    <row r="94" spans="1:11" s="36" customFormat="1" x14ac:dyDescent="0.3">
      <c r="A94" s="68"/>
      <c r="B94" s="32" t="s">
        <v>148</v>
      </c>
      <c r="C94" s="33">
        <f>+C91</f>
        <v>27348357.440000001</v>
      </c>
      <c r="D94" s="63">
        <f>+D91</f>
        <v>0</v>
      </c>
      <c r="E94" s="33">
        <f t="shared" si="4"/>
        <v>27348357.440000001</v>
      </c>
      <c r="F94" s="49"/>
      <c r="G94" s="34"/>
      <c r="H94" s="32" t="s">
        <v>149</v>
      </c>
      <c r="I94" s="35">
        <f>SUM(I91:I93)</f>
        <v>27348357.436999999</v>
      </c>
      <c r="J94" s="35">
        <f t="shared" ref="J94:K94" si="6">SUM(J91:J93)</f>
        <v>0</v>
      </c>
      <c r="K94" s="35">
        <f t="shared" si="6"/>
        <v>27348357.436999999</v>
      </c>
    </row>
    <row r="95" spans="1:11" x14ac:dyDescent="0.3">
      <c r="A95" s="61"/>
      <c r="B95" s="69"/>
      <c r="C95" s="17"/>
      <c r="D95" s="60"/>
      <c r="E95" s="17"/>
      <c r="F95" s="49"/>
      <c r="G95" s="1"/>
      <c r="I95" s="1"/>
      <c r="J95" s="13"/>
      <c r="K95" s="29"/>
    </row>
    <row r="96" spans="1:11" hidden="1" x14ac:dyDescent="0.3">
      <c r="A96" s="70" t="s">
        <v>150</v>
      </c>
      <c r="B96" s="71" t="s">
        <v>151</v>
      </c>
      <c r="C96" s="17">
        <f t="shared" ref="C96:D98" si="7">+C97</f>
        <v>0</v>
      </c>
      <c r="D96" s="60">
        <f t="shared" si="7"/>
        <v>0</v>
      </c>
      <c r="E96" s="17">
        <f t="shared" si="4"/>
        <v>0</v>
      </c>
      <c r="F96" s="49"/>
      <c r="G96" s="1"/>
      <c r="I96" s="1"/>
      <c r="J96" s="13"/>
      <c r="K96" s="29"/>
    </row>
    <row r="97" spans="1:11" s="36" customFormat="1" hidden="1" x14ac:dyDescent="0.3">
      <c r="A97" s="29" t="s">
        <v>152</v>
      </c>
      <c r="B97" s="72" t="s">
        <v>153</v>
      </c>
      <c r="C97" s="17">
        <f t="shared" si="7"/>
        <v>0</v>
      </c>
      <c r="D97" s="60">
        <f t="shared" si="7"/>
        <v>0</v>
      </c>
      <c r="E97" s="17">
        <f t="shared" si="4"/>
        <v>0</v>
      </c>
      <c r="F97" s="49"/>
      <c r="G97" s="16"/>
      <c r="H97" s="13"/>
      <c r="I97" s="1"/>
      <c r="J97" s="14"/>
      <c r="K97" s="17"/>
    </row>
    <row r="98" spans="1:11" hidden="1" x14ac:dyDescent="0.3">
      <c r="A98" s="29" t="s">
        <v>154</v>
      </c>
      <c r="B98" s="72" t="s">
        <v>155</v>
      </c>
      <c r="C98" s="14">
        <f>+C100</f>
        <v>0</v>
      </c>
      <c r="D98" s="47">
        <f t="shared" si="7"/>
        <v>0</v>
      </c>
      <c r="E98" s="14">
        <f t="shared" si="4"/>
        <v>0</v>
      </c>
      <c r="F98" s="49"/>
      <c r="G98" s="16"/>
      <c r="I98" s="2"/>
    </row>
    <row r="99" spans="1:11" hidden="1" x14ac:dyDescent="0.3">
      <c r="A99" s="13" t="s">
        <v>156</v>
      </c>
      <c r="B99" s="41" t="s">
        <v>157</v>
      </c>
      <c r="C99" s="14"/>
      <c r="D99" s="47"/>
      <c r="E99" s="14">
        <f t="shared" si="4"/>
        <v>0</v>
      </c>
      <c r="F99" s="49"/>
      <c r="G99" s="1"/>
      <c r="I99" s="1"/>
      <c r="J99" s="13"/>
      <c r="K99" s="29"/>
    </row>
    <row r="100" spans="1:11" hidden="1" x14ac:dyDescent="0.3">
      <c r="A100" s="13" t="s">
        <v>158</v>
      </c>
      <c r="B100" s="41" t="s">
        <v>159</v>
      </c>
      <c r="C100" s="14">
        <f>+'[1]INGRESOS  AUMENTOS'!D79</f>
        <v>0</v>
      </c>
      <c r="D100" s="47"/>
      <c r="E100" s="14">
        <f t="shared" si="4"/>
        <v>0</v>
      </c>
      <c r="F100" s="49"/>
      <c r="G100" s="53" t="s">
        <v>21</v>
      </c>
      <c r="H100" s="14" t="s">
        <v>22</v>
      </c>
      <c r="I100" s="2">
        <f>+C100</f>
        <v>0</v>
      </c>
      <c r="J100" s="13"/>
      <c r="K100" s="17">
        <f>SUM(I100:J100)</f>
        <v>0</v>
      </c>
    </row>
    <row r="101" spans="1:11" s="36" customFormat="1" hidden="1" x14ac:dyDescent="0.3">
      <c r="A101" s="32"/>
      <c r="B101" s="32" t="s">
        <v>160</v>
      </c>
      <c r="C101" s="33">
        <f>+C97</f>
        <v>0</v>
      </c>
      <c r="D101" s="63">
        <f>+D97</f>
        <v>0</v>
      </c>
      <c r="E101" s="33">
        <f t="shared" si="4"/>
        <v>0</v>
      </c>
      <c r="F101" s="49"/>
      <c r="G101" s="34"/>
      <c r="H101" s="32" t="s">
        <v>161</v>
      </c>
      <c r="I101" s="35">
        <f>SUM(I100)</f>
        <v>0</v>
      </c>
      <c r="J101" s="33"/>
      <c r="K101" s="33">
        <f>SUM(K100)</f>
        <v>0</v>
      </c>
    </row>
    <row r="102" spans="1:11" hidden="1" x14ac:dyDescent="0.3">
      <c r="A102" s="29"/>
      <c r="B102" s="72"/>
      <c r="C102" s="14"/>
      <c r="D102" s="47"/>
      <c r="E102" s="14"/>
      <c r="F102" s="49"/>
      <c r="G102" s="16"/>
      <c r="H102" s="29"/>
      <c r="I102" s="5"/>
      <c r="J102" s="17"/>
    </row>
    <row r="103" spans="1:11" x14ac:dyDescent="0.3">
      <c r="A103" s="18" t="s">
        <v>162</v>
      </c>
      <c r="B103" s="71" t="s">
        <v>163</v>
      </c>
      <c r="C103" s="17">
        <f>+C104</f>
        <v>1227954727.2296193</v>
      </c>
      <c r="D103" s="60">
        <f>+D104</f>
        <v>507408051.22000003</v>
      </c>
      <c r="E103" s="17">
        <f t="shared" si="4"/>
        <v>1735362778.4496193</v>
      </c>
      <c r="F103" s="49"/>
      <c r="G103" s="16" t="s">
        <v>57</v>
      </c>
      <c r="H103" s="13" t="s">
        <v>58</v>
      </c>
      <c r="I103" s="2">
        <v>0</v>
      </c>
      <c r="J103" s="14">
        <f>+[1]Hoja1!H83</f>
        <v>261050021.73000005</v>
      </c>
      <c r="K103" s="17">
        <f t="shared" ref="K103:K105" si="8">SUM(I103:J103)</f>
        <v>261050021.73000005</v>
      </c>
    </row>
    <row r="104" spans="1:11" x14ac:dyDescent="0.3">
      <c r="A104" s="67" t="s">
        <v>164</v>
      </c>
      <c r="B104" s="72" t="s">
        <v>165</v>
      </c>
      <c r="C104" s="17">
        <f>SUM(C105:C106)</f>
        <v>1227954727.2296193</v>
      </c>
      <c r="D104" s="60">
        <f>SUM(D105:D106)</f>
        <v>507408051.22000003</v>
      </c>
      <c r="E104" s="17">
        <f t="shared" si="4"/>
        <v>1735362778.4496193</v>
      </c>
      <c r="F104" s="49"/>
      <c r="G104" s="16" t="s">
        <v>166</v>
      </c>
      <c r="H104" s="13" t="s">
        <v>167</v>
      </c>
      <c r="I104" s="2">
        <f>+[1]Hoja1!C79</f>
        <v>662707686.96999991</v>
      </c>
      <c r="J104" s="14">
        <v>0</v>
      </c>
      <c r="K104" s="17">
        <f>SUM(I104:J104)</f>
        <v>662707686.96999991</v>
      </c>
    </row>
    <row r="105" spans="1:11" x14ac:dyDescent="0.3">
      <c r="A105" s="67" t="s">
        <v>168</v>
      </c>
      <c r="B105" s="72" t="s">
        <v>169</v>
      </c>
      <c r="C105" s="17">
        <f>+'[1]INGRESOS  AUMENTOS'!C83</f>
        <v>1227954727.2296193</v>
      </c>
      <c r="D105" s="60"/>
      <c r="E105" s="17">
        <f t="shared" si="4"/>
        <v>1227954727.2296193</v>
      </c>
      <c r="F105" s="49"/>
      <c r="G105" s="16" t="s">
        <v>21</v>
      </c>
      <c r="H105" s="13" t="s">
        <v>22</v>
      </c>
      <c r="I105" s="2">
        <f>+[1]Hoja1!C123</f>
        <v>565247040.25961912</v>
      </c>
      <c r="J105" s="14">
        <f>+[1]Hoja1!H93</f>
        <v>246358029.49000001</v>
      </c>
      <c r="K105" s="17">
        <f t="shared" si="8"/>
        <v>811605069.74961913</v>
      </c>
    </row>
    <row r="106" spans="1:11" x14ac:dyDescent="0.3">
      <c r="A106" s="67" t="s">
        <v>170</v>
      </c>
      <c r="B106" s="72" t="s">
        <v>171</v>
      </c>
      <c r="C106" s="14"/>
      <c r="D106" s="47">
        <f>+'[1]INGRESOS  AUMENTOS'!C84</f>
        <v>507408051.22000003</v>
      </c>
      <c r="E106" s="14">
        <f>SUM(C106:D106)</f>
        <v>507408051.22000003</v>
      </c>
      <c r="F106" s="49"/>
    </row>
    <row r="107" spans="1:11" x14ac:dyDescent="0.3">
      <c r="C107" s="1"/>
      <c r="D107" s="1"/>
      <c r="E107" s="1"/>
      <c r="F107" s="49"/>
    </row>
    <row r="108" spans="1:11" hidden="1" x14ac:dyDescent="0.3">
      <c r="A108" s="67"/>
      <c r="B108" s="72"/>
      <c r="C108" s="14"/>
      <c r="D108" s="47"/>
      <c r="E108" s="14"/>
      <c r="F108" s="49"/>
      <c r="I108" s="2"/>
    </row>
    <row r="109" spans="1:11" s="36" customFormat="1" ht="14.4" thickBot="1" x14ac:dyDescent="0.35">
      <c r="A109" s="68"/>
      <c r="B109" s="32" t="s">
        <v>172</v>
      </c>
      <c r="C109" s="33">
        <f>+C103</f>
        <v>1227954727.2296193</v>
      </c>
      <c r="D109" s="33">
        <f>+D103</f>
        <v>507408051.22000003</v>
      </c>
      <c r="E109" s="33">
        <f t="shared" si="4"/>
        <v>1735362778.4496193</v>
      </c>
      <c r="F109" s="49"/>
      <c r="G109" s="34"/>
      <c r="H109" s="73" t="s">
        <v>173</v>
      </c>
      <c r="I109" s="35">
        <f>SUM(I103:I108)</f>
        <v>1227954727.229619</v>
      </c>
      <c r="J109" s="35">
        <f>SUM(J103:J108)</f>
        <v>507408051.22000003</v>
      </c>
      <c r="K109" s="74">
        <f>SUM(K103:K105)</f>
        <v>1735362778.4496191</v>
      </c>
    </row>
    <row r="110" spans="1:11" s="82" customFormat="1" ht="14.4" thickTop="1" x14ac:dyDescent="0.3">
      <c r="A110" s="75"/>
      <c r="B110" s="76"/>
      <c r="C110" s="77"/>
      <c r="D110" s="77"/>
      <c r="E110" s="77"/>
      <c r="F110" s="78"/>
      <c r="G110" s="79"/>
      <c r="H110" s="80"/>
      <c r="I110" s="77"/>
      <c r="J110" s="77"/>
      <c r="K110" s="81"/>
    </row>
    <row r="111" spans="1:11" s="82" customFormat="1" x14ac:dyDescent="0.3">
      <c r="A111" s="83" t="s">
        <v>174</v>
      </c>
      <c r="B111" s="84"/>
      <c r="C111" s="85">
        <f>+C103+C96+C10</f>
        <v>1255576084.6696193</v>
      </c>
      <c r="D111" s="85">
        <f>+D103+D96+D10</f>
        <v>507408051.22000003</v>
      </c>
      <c r="E111" s="85">
        <f>SUM(C111:D111)</f>
        <v>1762984135.8896194</v>
      </c>
      <c r="F111" s="86"/>
      <c r="G111" s="87"/>
      <c r="H111" s="88" t="s">
        <v>175</v>
      </c>
      <c r="I111" s="85">
        <f>+I23+I70+I74+I83+I94+I39+I109+I89+I62+I56+I48+I101+I30</f>
        <v>1255576084.6666191</v>
      </c>
      <c r="J111" s="85">
        <f>+J23+J70+J74+J83+J94+J39+J109+J89+J62+J56+J48+J101+J30+J79</f>
        <v>507408051.22000003</v>
      </c>
      <c r="K111" s="85">
        <f>+K23+K70+K74+K83+K94+K39+K109+K89+K62+K56+K48+K101+K30+K79</f>
        <v>1762984135.8866191</v>
      </c>
    </row>
    <row r="112" spans="1:11" s="82" customFormat="1" ht="14.4" thickBot="1" x14ac:dyDescent="0.35">
      <c r="A112" s="89"/>
      <c r="B112" s="90"/>
      <c r="C112" s="91"/>
      <c r="D112" s="91"/>
      <c r="E112" s="91"/>
      <c r="F112" s="92"/>
      <c r="G112" s="93"/>
      <c r="H112" s="94"/>
      <c r="I112" s="91"/>
      <c r="J112" s="91"/>
      <c r="K112" s="95"/>
    </row>
    <row r="113" spans="1:12" x14ac:dyDescent="0.3">
      <c r="E113" s="2">
        <f>+'[1]INGRESOS  AUMENTOS'!G86</f>
        <v>1762984135.8866191</v>
      </c>
      <c r="K113" s="17">
        <f>+E113</f>
        <v>1762984135.8866191</v>
      </c>
      <c r="L113" s="2"/>
    </row>
    <row r="114" spans="1:12" x14ac:dyDescent="0.3">
      <c r="C114" s="2">
        <v>1000</v>
      </c>
      <c r="L114" s="2"/>
    </row>
    <row r="115" spans="1:12" x14ac:dyDescent="0.3">
      <c r="L115" s="2"/>
    </row>
    <row r="116" spans="1:12" x14ac:dyDescent="0.3">
      <c r="A116" s="242" t="s">
        <v>0</v>
      </c>
      <c r="B116" s="242"/>
      <c r="C116" s="242"/>
      <c r="D116" s="242"/>
      <c r="E116" s="242"/>
      <c r="F116" s="242"/>
      <c r="G116" s="242"/>
      <c r="H116" s="242"/>
      <c r="I116" s="242"/>
      <c r="J116" s="242"/>
      <c r="K116" s="242"/>
      <c r="L116" s="2"/>
    </row>
    <row r="117" spans="1:12" x14ac:dyDescent="0.3">
      <c r="A117" s="243" t="str">
        <f>+A4</f>
        <v>PRESUPUESTO EXTRAORDINARIO 2-2025</v>
      </c>
      <c r="B117" s="242"/>
      <c r="C117" s="242"/>
      <c r="D117" s="242"/>
      <c r="E117" s="242"/>
      <c r="F117" s="242"/>
      <c r="G117" s="242"/>
      <c r="H117" s="242"/>
      <c r="I117" s="242"/>
      <c r="J117" s="242"/>
      <c r="K117" s="242"/>
      <c r="L117" s="2"/>
    </row>
    <row r="118" spans="1:12" x14ac:dyDescent="0.3">
      <c r="A118" s="242" t="s">
        <v>2</v>
      </c>
      <c r="B118" s="242"/>
      <c r="C118" s="242"/>
      <c r="D118" s="242"/>
      <c r="E118" s="242"/>
      <c r="F118" s="242"/>
      <c r="G118" s="242"/>
      <c r="H118" s="242"/>
      <c r="I118" s="242"/>
      <c r="J118" s="242"/>
      <c r="K118" s="242"/>
    </row>
    <row r="119" spans="1:12" ht="14.4" thickBot="1" x14ac:dyDescent="0.35">
      <c r="A119" s="242" t="s">
        <v>176</v>
      </c>
      <c r="B119" s="242"/>
      <c r="C119" s="242"/>
      <c r="D119" s="242"/>
      <c r="E119" s="242"/>
      <c r="F119" s="242"/>
      <c r="G119" s="242"/>
      <c r="H119" s="242"/>
      <c r="I119" s="242"/>
      <c r="J119" s="242"/>
      <c r="K119" s="242"/>
    </row>
    <row r="120" spans="1:12" ht="13.5" customHeight="1" thickBot="1" x14ac:dyDescent="0.35">
      <c r="A120" s="244" t="s">
        <v>4</v>
      </c>
      <c r="B120" s="245"/>
      <c r="C120" s="8" t="s">
        <v>5</v>
      </c>
      <c r="D120" s="8" t="s">
        <v>6</v>
      </c>
      <c r="E120" s="8" t="s">
        <v>7</v>
      </c>
      <c r="F120" s="9"/>
      <c r="G120" s="246" t="s">
        <v>8</v>
      </c>
      <c r="H120" s="247"/>
      <c r="I120" s="8" t="s">
        <v>5</v>
      </c>
      <c r="J120" s="8" t="s">
        <v>6</v>
      </c>
      <c r="K120" s="10" t="s">
        <v>7</v>
      </c>
    </row>
    <row r="121" spans="1:12" x14ac:dyDescent="0.3">
      <c r="A121" s="12"/>
      <c r="B121" s="13"/>
      <c r="C121" s="14"/>
      <c r="D121" s="14"/>
      <c r="E121" s="14"/>
      <c r="F121" s="15"/>
      <c r="G121" s="16"/>
      <c r="I121" s="2"/>
    </row>
    <row r="122" spans="1:12" x14ac:dyDescent="0.3">
      <c r="A122" s="18" t="s">
        <v>9</v>
      </c>
      <c r="B122" s="19" t="s">
        <v>10</v>
      </c>
      <c r="C122" s="17">
        <f>+C162</f>
        <v>27348.35744</v>
      </c>
      <c r="D122" s="17">
        <f>+D162</f>
        <v>0</v>
      </c>
      <c r="E122" s="17">
        <f>SUM(C122:D122)</f>
        <v>27348.35744</v>
      </c>
      <c r="F122" s="15"/>
      <c r="I122" s="2"/>
    </row>
    <row r="123" spans="1:12" hidden="1" x14ac:dyDescent="0.3">
      <c r="A123" s="20" t="s">
        <v>11</v>
      </c>
      <c r="B123" s="21" t="s">
        <v>12</v>
      </c>
      <c r="C123" s="17">
        <f>+C125+C144+C153</f>
        <v>0</v>
      </c>
      <c r="D123" s="17">
        <f>+D125+D144+D153</f>
        <v>0</v>
      </c>
      <c r="E123" s="17">
        <f t="shared" ref="E123" si="9">SUM(C123:D123)</f>
        <v>0</v>
      </c>
      <c r="F123" s="15"/>
      <c r="I123" s="2"/>
    </row>
    <row r="124" spans="1:12" hidden="1" x14ac:dyDescent="0.3">
      <c r="A124" s="20"/>
      <c r="B124" s="22"/>
      <c r="C124" s="14"/>
      <c r="D124" s="14"/>
      <c r="E124" s="14"/>
      <c r="F124" s="15"/>
      <c r="I124" s="2"/>
    </row>
    <row r="125" spans="1:12" ht="12.75" hidden="1" customHeight="1" x14ac:dyDescent="0.3">
      <c r="A125" s="20" t="s">
        <v>13</v>
      </c>
      <c r="B125" s="23" t="s">
        <v>14</v>
      </c>
      <c r="C125" s="17">
        <f>+C126+C130</f>
        <v>0</v>
      </c>
      <c r="D125" s="17">
        <f>+D126+D130</f>
        <v>0</v>
      </c>
      <c r="E125" s="17">
        <f t="shared" ref="E125:E128" si="10">SUM(C125:D125)</f>
        <v>0</v>
      </c>
      <c r="F125" s="15"/>
      <c r="I125" s="2"/>
    </row>
    <row r="126" spans="1:12" ht="12.75" hidden="1" customHeight="1" x14ac:dyDescent="0.3">
      <c r="A126" s="20" t="s">
        <v>15</v>
      </c>
      <c r="B126" s="21" t="s">
        <v>16</v>
      </c>
      <c r="C126" s="17">
        <f>+C127</f>
        <v>0</v>
      </c>
      <c r="D126" s="17">
        <f>+D127</f>
        <v>0</v>
      </c>
      <c r="E126" s="17">
        <f t="shared" si="10"/>
        <v>0</v>
      </c>
      <c r="F126" s="15"/>
      <c r="G126" s="4" t="s">
        <v>17</v>
      </c>
      <c r="H126" s="13" t="s">
        <v>18</v>
      </c>
      <c r="I126" s="2"/>
      <c r="K126" s="17">
        <f>+J126+I126</f>
        <v>0</v>
      </c>
    </row>
    <row r="127" spans="1:12" ht="12.75" hidden="1" customHeight="1" x14ac:dyDescent="0.3">
      <c r="A127" s="24" t="s">
        <v>19</v>
      </c>
      <c r="B127" s="25" t="s">
        <v>20</v>
      </c>
      <c r="C127" s="14">
        <f>+C128</f>
        <v>0</v>
      </c>
      <c r="D127" s="14">
        <f>+D128</f>
        <v>0</v>
      </c>
      <c r="E127" s="14">
        <f t="shared" si="10"/>
        <v>0</v>
      </c>
      <c r="F127" s="15"/>
      <c r="G127" s="16" t="s">
        <v>21</v>
      </c>
      <c r="H127" s="13" t="s">
        <v>22</v>
      </c>
      <c r="I127" s="2"/>
      <c r="K127" s="17">
        <f>+J127+I127</f>
        <v>0</v>
      </c>
    </row>
    <row r="128" spans="1:12" ht="12.75" hidden="1" customHeight="1" x14ac:dyDescent="0.3">
      <c r="A128" s="24" t="s">
        <v>23</v>
      </c>
      <c r="B128" s="25" t="s">
        <v>24</v>
      </c>
      <c r="C128" s="14"/>
      <c r="D128" s="14"/>
      <c r="E128" s="14">
        <f t="shared" si="10"/>
        <v>0</v>
      </c>
      <c r="F128" s="15"/>
      <c r="G128" s="16" t="s">
        <v>25</v>
      </c>
      <c r="H128" s="13" t="s">
        <v>26</v>
      </c>
      <c r="I128" s="2"/>
      <c r="K128" s="17">
        <f>+J128+I128</f>
        <v>0</v>
      </c>
    </row>
    <row r="129" spans="1:12" ht="12.75" hidden="1" customHeight="1" x14ac:dyDescent="0.3">
      <c r="A129" s="20"/>
      <c r="B129" s="21"/>
      <c r="C129" s="14"/>
      <c r="D129" s="14"/>
      <c r="E129" s="14"/>
      <c r="F129" s="15"/>
    </row>
    <row r="130" spans="1:12" ht="12.75" hidden="1" customHeight="1" x14ac:dyDescent="0.3">
      <c r="A130" s="26" t="s">
        <v>27</v>
      </c>
      <c r="B130" s="27" t="s">
        <v>28</v>
      </c>
      <c r="C130" s="14">
        <f>+C131</f>
        <v>0</v>
      </c>
      <c r="D130" s="14">
        <f>+D131</f>
        <v>0</v>
      </c>
      <c r="E130" s="14">
        <f t="shared" ref="E130:E135" si="11">SUM(C130:D130)</f>
        <v>0</v>
      </c>
      <c r="F130" s="15"/>
      <c r="I130" s="2"/>
    </row>
    <row r="131" spans="1:12" ht="12.75" hidden="1" customHeight="1" x14ac:dyDescent="0.3">
      <c r="A131" s="28" t="s">
        <v>29</v>
      </c>
      <c r="B131" s="25" t="s">
        <v>30</v>
      </c>
      <c r="C131" s="14">
        <f>SUM(C132:C134)</f>
        <v>0</v>
      </c>
      <c r="D131" s="14">
        <f>SUM(D132:D134)</f>
        <v>0</v>
      </c>
      <c r="E131" s="14">
        <f t="shared" si="11"/>
        <v>0</v>
      </c>
      <c r="F131" s="15"/>
      <c r="G131" s="1"/>
      <c r="I131" s="1"/>
      <c r="J131" s="13"/>
      <c r="K131" s="29"/>
    </row>
    <row r="132" spans="1:12" ht="12.75" hidden="1" customHeight="1" x14ac:dyDescent="0.3">
      <c r="A132" s="24" t="s">
        <v>31</v>
      </c>
      <c r="B132" s="25" t="s">
        <v>32</v>
      </c>
      <c r="C132" s="17"/>
      <c r="D132" s="17"/>
      <c r="E132" s="17">
        <f t="shared" si="11"/>
        <v>0</v>
      </c>
      <c r="F132" s="15"/>
      <c r="I132" s="2"/>
    </row>
    <row r="133" spans="1:12" ht="12.75" hidden="1" customHeight="1" x14ac:dyDescent="0.3">
      <c r="A133" s="24" t="s">
        <v>33</v>
      </c>
      <c r="B133" s="25" t="s">
        <v>34</v>
      </c>
      <c r="C133" s="14"/>
      <c r="D133" s="14"/>
      <c r="E133" s="14">
        <f t="shared" si="11"/>
        <v>0</v>
      </c>
      <c r="F133" s="15"/>
      <c r="I133" s="2"/>
    </row>
    <row r="134" spans="1:12" ht="12.75" hidden="1" customHeight="1" x14ac:dyDescent="0.3">
      <c r="A134" s="24" t="s">
        <v>35</v>
      </c>
      <c r="B134" s="30" t="s">
        <v>36</v>
      </c>
      <c r="C134" s="17"/>
      <c r="D134" s="17"/>
      <c r="E134" s="17">
        <f t="shared" si="11"/>
        <v>0</v>
      </c>
      <c r="F134" s="15"/>
      <c r="I134" s="2"/>
    </row>
    <row r="135" spans="1:12" ht="12.75" hidden="1" customHeight="1" x14ac:dyDescent="0.3">
      <c r="A135" s="31"/>
      <c r="B135" s="32" t="s">
        <v>37</v>
      </c>
      <c r="C135" s="33">
        <f>+C125</f>
        <v>0</v>
      </c>
      <c r="D135" s="33">
        <f>+D125</f>
        <v>0</v>
      </c>
      <c r="E135" s="33">
        <f t="shared" si="11"/>
        <v>0</v>
      </c>
      <c r="F135" s="15"/>
      <c r="G135" s="34"/>
      <c r="H135" s="32" t="s">
        <v>38</v>
      </c>
      <c r="I135" s="35">
        <f>SUM(I126:I128)</f>
        <v>0</v>
      </c>
      <c r="J135" s="33">
        <f>SUM(J126:J128)</f>
        <v>0</v>
      </c>
      <c r="K135" s="33">
        <f>SUM(K126:K128)</f>
        <v>0</v>
      </c>
    </row>
    <row r="136" spans="1:12" ht="12.75" hidden="1" customHeight="1" x14ac:dyDescent="0.3">
      <c r="A136" s="13"/>
      <c r="B136" s="29"/>
      <c r="C136" s="14"/>
      <c r="D136" s="14"/>
      <c r="E136" s="14"/>
      <c r="F136" s="15"/>
      <c r="I136" s="2"/>
    </row>
    <row r="137" spans="1:12" ht="12" hidden="1" customHeight="1" x14ac:dyDescent="0.3">
      <c r="A137" s="20" t="s">
        <v>39</v>
      </c>
      <c r="B137" s="21" t="s">
        <v>40</v>
      </c>
      <c r="C137" s="17">
        <f>+C138</f>
        <v>0</v>
      </c>
      <c r="D137" s="17">
        <f>+D138</f>
        <v>0</v>
      </c>
      <c r="E137" s="17">
        <f t="shared" ref="E137:E142" si="12">SUM(C137:D137)</f>
        <v>0</v>
      </c>
      <c r="F137" s="15"/>
      <c r="I137" s="2"/>
    </row>
    <row r="138" spans="1:12" ht="12.75" hidden="1" customHeight="1" x14ac:dyDescent="0.3">
      <c r="A138" s="26" t="s">
        <v>41</v>
      </c>
      <c r="B138" s="37" t="s">
        <v>42</v>
      </c>
      <c r="C138" s="14">
        <f>+C139</f>
        <v>0</v>
      </c>
      <c r="D138" s="14">
        <f>+D139</f>
        <v>0</v>
      </c>
      <c r="E138" s="14">
        <f t="shared" si="12"/>
        <v>0</v>
      </c>
      <c r="F138" s="15"/>
      <c r="G138" s="16" t="s">
        <v>25</v>
      </c>
      <c r="H138" s="13" t="s">
        <v>26</v>
      </c>
      <c r="I138" s="2">
        <f>+C138</f>
        <v>0</v>
      </c>
      <c r="J138" s="14">
        <f>+D138</f>
        <v>0</v>
      </c>
      <c r="K138" s="17">
        <f>+J138+I138</f>
        <v>0</v>
      </c>
    </row>
    <row r="139" spans="1:12" ht="12.75" hidden="1" customHeight="1" x14ac:dyDescent="0.3">
      <c r="A139" s="24" t="s">
        <v>43</v>
      </c>
      <c r="B139" s="25" t="s">
        <v>44</v>
      </c>
      <c r="C139" s="14">
        <f>SUM(C140:C141)</f>
        <v>0</v>
      </c>
      <c r="D139" s="14">
        <f>SUM(D140:D141)</f>
        <v>0</v>
      </c>
      <c r="E139" s="14">
        <f t="shared" si="12"/>
        <v>0</v>
      </c>
      <c r="F139" s="15"/>
      <c r="G139" s="16"/>
      <c r="I139" s="2"/>
    </row>
    <row r="140" spans="1:12" hidden="1" x14ac:dyDescent="0.3">
      <c r="A140" s="24" t="s">
        <v>45</v>
      </c>
      <c r="B140" s="25" t="s">
        <v>46</v>
      </c>
      <c r="C140" s="17"/>
      <c r="D140" s="17"/>
      <c r="E140" s="17">
        <f t="shared" si="12"/>
        <v>0</v>
      </c>
      <c r="F140" s="15"/>
      <c r="G140" s="1"/>
      <c r="I140" s="1"/>
      <c r="J140" s="13"/>
      <c r="K140" s="29"/>
      <c r="L140" s="2"/>
    </row>
    <row r="141" spans="1:12" hidden="1" x14ac:dyDescent="0.3">
      <c r="A141" s="24" t="s">
        <v>47</v>
      </c>
      <c r="B141" s="38" t="s">
        <v>48</v>
      </c>
      <c r="C141" s="17"/>
      <c r="D141" s="17"/>
      <c r="E141" s="17">
        <f t="shared" si="12"/>
        <v>0</v>
      </c>
      <c r="F141" s="15"/>
      <c r="H141" s="29"/>
      <c r="I141" s="2"/>
      <c r="J141" s="17"/>
      <c r="L141" s="2"/>
    </row>
    <row r="142" spans="1:12" ht="13.8" hidden="1" customHeight="1" x14ac:dyDescent="0.3">
      <c r="A142" s="39"/>
      <c r="B142" s="32" t="s">
        <v>49</v>
      </c>
      <c r="C142" s="33">
        <f>+C137</f>
        <v>0</v>
      </c>
      <c r="D142" s="33">
        <f>+D137</f>
        <v>0</v>
      </c>
      <c r="E142" s="33">
        <f t="shared" si="12"/>
        <v>0</v>
      </c>
      <c r="F142" s="15"/>
      <c r="G142" s="34"/>
      <c r="H142" s="32" t="s">
        <v>50</v>
      </c>
      <c r="I142" s="35">
        <f>SUM(I134:I139)</f>
        <v>0</v>
      </c>
      <c r="J142" s="33">
        <f>+J138</f>
        <v>0</v>
      </c>
      <c r="K142" s="33">
        <f>SUM(I142:J142)</f>
        <v>0</v>
      </c>
      <c r="L142" s="2"/>
    </row>
    <row r="143" spans="1:12" s="98" customFormat="1" ht="13.8" hidden="1" customHeight="1" x14ac:dyDescent="0.3">
      <c r="A143" s="13"/>
      <c r="B143" s="41"/>
      <c r="C143" s="17"/>
      <c r="D143" s="17"/>
      <c r="E143" s="17"/>
      <c r="F143" s="15"/>
      <c r="G143" s="1"/>
      <c r="H143" s="13"/>
      <c r="I143" s="1"/>
      <c r="J143" s="13"/>
      <c r="K143" s="29"/>
      <c r="L143" s="97"/>
    </row>
    <row r="144" spans="1:12" hidden="1" x14ac:dyDescent="0.3">
      <c r="A144" s="20" t="s">
        <v>51</v>
      </c>
      <c r="B144" s="21" t="s">
        <v>52</v>
      </c>
      <c r="C144" s="17">
        <f>+C145</f>
        <v>0</v>
      </c>
      <c r="D144" s="17">
        <f>+D145</f>
        <v>0</v>
      </c>
      <c r="E144" s="17">
        <f t="shared" ref="E144:E151" si="13">SUM(C144:D144)</f>
        <v>0</v>
      </c>
      <c r="F144" s="15"/>
      <c r="G144" s="1"/>
      <c r="I144" s="1"/>
      <c r="J144" s="13"/>
      <c r="K144" s="29"/>
    </row>
    <row r="145" spans="1:11" ht="12.75" hidden="1" customHeight="1" x14ac:dyDescent="0.3">
      <c r="A145" s="20" t="s">
        <v>53</v>
      </c>
      <c r="B145" s="21" t="s">
        <v>54</v>
      </c>
      <c r="C145" s="17">
        <f>+C146+C148</f>
        <v>0</v>
      </c>
      <c r="D145" s="17">
        <f>+D146+D148</f>
        <v>0</v>
      </c>
      <c r="E145" s="17">
        <f t="shared" si="13"/>
        <v>0</v>
      </c>
      <c r="F145" s="15"/>
      <c r="G145" s="4" t="s">
        <v>17</v>
      </c>
      <c r="H145" s="13" t="s">
        <v>18</v>
      </c>
      <c r="I145" s="2"/>
      <c r="J145" s="17"/>
      <c r="K145" s="17">
        <f>SUM(I145:J145)</f>
        <v>0</v>
      </c>
    </row>
    <row r="146" spans="1:11" ht="12.75" hidden="1" customHeight="1" x14ac:dyDescent="0.3">
      <c r="A146" s="26" t="s">
        <v>55</v>
      </c>
      <c r="B146" s="37" t="s">
        <v>56</v>
      </c>
      <c r="C146" s="14">
        <f>+C147</f>
        <v>0</v>
      </c>
      <c r="D146" s="14">
        <f>+D147</f>
        <v>0</v>
      </c>
      <c r="E146" s="14">
        <f t="shared" si="13"/>
        <v>0</v>
      </c>
      <c r="F146" s="15"/>
      <c r="G146" s="16" t="s">
        <v>57</v>
      </c>
      <c r="H146" s="13" t="s">
        <v>58</v>
      </c>
      <c r="I146" s="2"/>
      <c r="J146" s="17"/>
      <c r="K146" s="17">
        <f>SUM(I146:J146)</f>
        <v>0</v>
      </c>
    </row>
    <row r="147" spans="1:11" ht="12.75" hidden="1" customHeight="1" x14ac:dyDescent="0.3">
      <c r="A147" s="24" t="s">
        <v>59</v>
      </c>
      <c r="B147" s="25" t="s">
        <v>60</v>
      </c>
      <c r="C147" s="14"/>
      <c r="D147" s="17"/>
      <c r="E147" s="17">
        <f t="shared" si="13"/>
        <v>0</v>
      </c>
      <c r="F147" s="15"/>
      <c r="G147" s="16"/>
      <c r="I147" s="2"/>
      <c r="J147" s="17"/>
    </row>
    <row r="148" spans="1:11" hidden="1" x14ac:dyDescent="0.3">
      <c r="A148" s="24" t="s">
        <v>61</v>
      </c>
      <c r="B148" s="25" t="s">
        <v>62</v>
      </c>
      <c r="C148" s="14">
        <f>SUM(C149:C150)</f>
        <v>0</v>
      </c>
      <c r="D148" s="14">
        <f>SUM(D149:D150)</f>
        <v>0</v>
      </c>
      <c r="E148" s="14">
        <f t="shared" si="13"/>
        <v>0</v>
      </c>
      <c r="F148" s="15"/>
      <c r="G148" s="16"/>
      <c r="I148" s="2"/>
      <c r="J148" s="17"/>
    </row>
    <row r="149" spans="1:11" hidden="1" x14ac:dyDescent="0.3">
      <c r="A149" s="24" t="s">
        <v>63</v>
      </c>
      <c r="B149" s="25" t="s">
        <v>64</v>
      </c>
      <c r="C149" s="17"/>
      <c r="D149" s="17"/>
      <c r="E149" s="17">
        <f t="shared" si="13"/>
        <v>0</v>
      </c>
      <c r="F149" s="15"/>
      <c r="G149" s="1"/>
      <c r="I149" s="1"/>
      <c r="J149" s="13"/>
      <c r="K149" s="29"/>
    </row>
    <row r="150" spans="1:11" ht="12.75" hidden="1" customHeight="1" x14ac:dyDescent="0.3">
      <c r="A150" s="28" t="s">
        <v>65</v>
      </c>
      <c r="B150" s="42" t="s">
        <v>66</v>
      </c>
      <c r="C150" s="14"/>
      <c r="D150" s="14"/>
      <c r="E150" s="14">
        <f t="shared" si="13"/>
        <v>0</v>
      </c>
      <c r="F150" s="15"/>
      <c r="I150" s="2"/>
    </row>
    <row r="151" spans="1:11" ht="12.75" hidden="1" customHeight="1" x14ac:dyDescent="0.3">
      <c r="A151" s="39"/>
      <c r="B151" s="32" t="s">
        <v>67</v>
      </c>
      <c r="C151" s="33">
        <f>+C145</f>
        <v>0</v>
      </c>
      <c r="D151" s="33">
        <f>+D145</f>
        <v>0</v>
      </c>
      <c r="E151" s="33">
        <f t="shared" si="13"/>
        <v>0</v>
      </c>
      <c r="F151" s="15"/>
      <c r="G151" s="34"/>
      <c r="H151" s="32" t="s">
        <v>68</v>
      </c>
      <c r="I151" s="35">
        <f>SUM(I145:I146)</f>
        <v>0</v>
      </c>
      <c r="J151" s="33"/>
      <c r="K151" s="33">
        <f>SUM(I151:J151)</f>
        <v>0</v>
      </c>
    </row>
    <row r="152" spans="1:11" ht="12.75" hidden="1" customHeight="1" x14ac:dyDescent="0.3">
      <c r="A152" s="24"/>
      <c r="B152" s="38"/>
      <c r="C152" s="17"/>
      <c r="D152" s="17"/>
      <c r="E152" s="17"/>
      <c r="F152" s="15"/>
      <c r="G152" s="1"/>
      <c r="I152" s="1"/>
      <c r="J152" s="13"/>
      <c r="K152" s="29"/>
    </row>
    <row r="153" spans="1:11" ht="12.75" hidden="1" customHeight="1" x14ac:dyDescent="0.3">
      <c r="A153" s="20" t="s">
        <v>69</v>
      </c>
      <c r="B153" s="21" t="s">
        <v>70</v>
      </c>
      <c r="C153" s="17">
        <f>+C154+C155</f>
        <v>0</v>
      </c>
      <c r="D153" s="17">
        <f>+D154+D155</f>
        <v>0</v>
      </c>
      <c r="E153" s="17">
        <f t="shared" ref="E153:E160" si="14">SUM(C153:D153)</f>
        <v>0</v>
      </c>
      <c r="F153" s="15"/>
      <c r="G153" s="1"/>
      <c r="I153" s="1"/>
      <c r="J153" s="13"/>
      <c r="K153" s="29"/>
    </row>
    <row r="154" spans="1:11" ht="12.75" hidden="1" customHeight="1" x14ac:dyDescent="0.3">
      <c r="A154" s="20" t="s">
        <v>71</v>
      </c>
      <c r="B154" s="23" t="s">
        <v>72</v>
      </c>
      <c r="C154" s="17"/>
      <c r="D154" s="17"/>
      <c r="E154" s="17">
        <f t="shared" si="14"/>
        <v>0</v>
      </c>
      <c r="F154" s="15"/>
      <c r="G154" s="4" t="s">
        <v>17</v>
      </c>
      <c r="H154" s="13" t="s">
        <v>18</v>
      </c>
      <c r="I154" s="2"/>
      <c r="K154" s="17">
        <f>SUM(I154:J154)</f>
        <v>0</v>
      </c>
    </row>
    <row r="155" spans="1:11" ht="12.75" hidden="1" customHeight="1" x14ac:dyDescent="0.3">
      <c r="A155" s="20" t="s">
        <v>73</v>
      </c>
      <c r="B155" s="21" t="s">
        <v>74</v>
      </c>
      <c r="C155" s="17">
        <f>SUM(C156:C159)</f>
        <v>0</v>
      </c>
      <c r="D155" s="17">
        <f>SUM(D156:D159)</f>
        <v>0</v>
      </c>
      <c r="E155" s="17">
        <f t="shared" si="14"/>
        <v>0</v>
      </c>
      <c r="F155" s="15"/>
      <c r="I155" s="2"/>
    </row>
    <row r="156" spans="1:11" ht="12.75" hidden="1" customHeight="1" x14ac:dyDescent="0.3">
      <c r="A156" s="24" t="s">
        <v>75</v>
      </c>
      <c r="B156" s="25" t="s">
        <v>76</v>
      </c>
      <c r="C156" s="14"/>
      <c r="D156" s="14"/>
      <c r="E156" s="14">
        <f t="shared" si="14"/>
        <v>0</v>
      </c>
      <c r="F156" s="15"/>
      <c r="G156" s="16" t="s">
        <v>25</v>
      </c>
      <c r="H156" s="13" t="s">
        <v>26</v>
      </c>
      <c r="I156" s="2">
        <f>+C156</f>
        <v>0</v>
      </c>
      <c r="K156" s="17">
        <f>SUM(I156:J156)</f>
        <v>0</v>
      </c>
    </row>
    <row r="157" spans="1:11" ht="12.75" hidden="1" customHeight="1" x14ac:dyDescent="0.3">
      <c r="A157" s="24" t="s">
        <v>77</v>
      </c>
      <c r="B157" s="25" t="s">
        <v>78</v>
      </c>
      <c r="C157" s="17"/>
      <c r="D157" s="17"/>
      <c r="E157" s="17">
        <f t="shared" si="14"/>
        <v>0</v>
      </c>
      <c r="F157" s="15"/>
      <c r="G157" s="16"/>
      <c r="I157" s="1"/>
      <c r="J157" s="13"/>
      <c r="K157" s="29"/>
    </row>
    <row r="158" spans="1:11" ht="12.75" hidden="1" customHeight="1" x14ac:dyDescent="0.3">
      <c r="A158" s="24" t="s">
        <v>79</v>
      </c>
      <c r="B158" s="25" t="s">
        <v>80</v>
      </c>
      <c r="C158" s="14"/>
      <c r="D158" s="14"/>
      <c r="E158" s="14">
        <f t="shared" si="14"/>
        <v>0</v>
      </c>
      <c r="F158" s="15"/>
      <c r="I158" s="2"/>
    </row>
    <row r="159" spans="1:11" ht="12.75" hidden="1" customHeight="1" x14ac:dyDescent="0.3">
      <c r="A159" s="24" t="s">
        <v>81</v>
      </c>
      <c r="B159" s="25" t="s">
        <v>82</v>
      </c>
      <c r="C159" s="17"/>
      <c r="D159" s="17"/>
      <c r="E159" s="17">
        <f t="shared" si="14"/>
        <v>0</v>
      </c>
      <c r="F159" s="15"/>
      <c r="G159" s="16"/>
      <c r="I159" s="2"/>
    </row>
    <row r="160" spans="1:11" ht="12.75" hidden="1" customHeight="1" x14ac:dyDescent="0.3">
      <c r="A160" s="39"/>
      <c r="B160" s="43" t="s">
        <v>83</v>
      </c>
      <c r="C160" s="33">
        <f>+C155</f>
        <v>0</v>
      </c>
      <c r="D160" s="33">
        <f>+D155</f>
        <v>0</v>
      </c>
      <c r="E160" s="33">
        <f t="shared" si="14"/>
        <v>0</v>
      </c>
      <c r="F160" s="15"/>
      <c r="G160" s="44"/>
      <c r="H160" s="43" t="s">
        <v>84</v>
      </c>
      <c r="I160" s="35">
        <f>+I154</f>
        <v>0</v>
      </c>
      <c r="J160" s="33">
        <f>+J156</f>
        <v>0</v>
      </c>
      <c r="K160" s="33">
        <f>SUM(I160:J160)</f>
        <v>0</v>
      </c>
    </row>
    <row r="161" spans="1:11" ht="12.75" customHeight="1" x14ac:dyDescent="0.3">
      <c r="A161" s="24"/>
      <c r="B161" s="38"/>
      <c r="C161" s="14"/>
      <c r="D161" s="14"/>
      <c r="E161" s="14"/>
      <c r="F161" s="15"/>
      <c r="G161" s="45"/>
      <c r="I161" s="2"/>
    </row>
    <row r="162" spans="1:11" ht="12.75" customHeight="1" x14ac:dyDescent="0.3">
      <c r="A162" s="20" t="s">
        <v>85</v>
      </c>
      <c r="B162" s="21" t="s">
        <v>86</v>
      </c>
      <c r="C162" s="17">
        <f>+C163+C199+C205</f>
        <v>27348.35744</v>
      </c>
      <c r="D162" s="17">
        <f t="shared" ref="D162:E162" si="15">+D163+D199+D205</f>
        <v>0</v>
      </c>
      <c r="E162" s="17">
        <f t="shared" si="15"/>
        <v>27621.35744</v>
      </c>
      <c r="F162" s="15"/>
      <c r="G162" s="16"/>
      <c r="I162" s="2"/>
    </row>
    <row r="163" spans="1:11" ht="12.75" hidden="1" customHeight="1" x14ac:dyDescent="0.3">
      <c r="A163" s="20" t="s">
        <v>87</v>
      </c>
      <c r="B163" s="21" t="s">
        <v>88</v>
      </c>
      <c r="C163" s="17">
        <f>+C164</f>
        <v>0</v>
      </c>
      <c r="D163" s="17">
        <f t="shared" ref="D163:E163" si="16">+D164+D172+D178+D186+D190+D195</f>
        <v>0</v>
      </c>
      <c r="E163" s="17">
        <f t="shared" si="16"/>
        <v>273</v>
      </c>
      <c r="F163" s="15"/>
      <c r="G163" s="1"/>
      <c r="I163" s="2"/>
    </row>
    <row r="164" spans="1:11" ht="12.75" hidden="1" customHeight="1" x14ac:dyDescent="0.3">
      <c r="A164" s="20" t="s">
        <v>89</v>
      </c>
      <c r="B164" s="21" t="s">
        <v>90</v>
      </c>
      <c r="C164" s="17">
        <f>SUM(C165:C169)</f>
        <v>0</v>
      </c>
      <c r="D164" s="17">
        <f>SUM(D165:D169)</f>
        <v>0</v>
      </c>
      <c r="E164" s="17">
        <f t="shared" ref="E164:E170" si="17">SUM(C164:D164)</f>
        <v>0</v>
      </c>
      <c r="F164" s="15"/>
      <c r="G164" s="4" t="s">
        <v>136</v>
      </c>
      <c r="H164" s="13" t="s">
        <v>137</v>
      </c>
      <c r="I164" s="2">
        <f>+I50/C114</f>
        <v>0</v>
      </c>
      <c r="J164" s="14">
        <v>0</v>
      </c>
      <c r="K164" s="17">
        <f>+J164+I164</f>
        <v>0</v>
      </c>
    </row>
    <row r="165" spans="1:11" ht="12.75" hidden="1" customHeight="1" x14ac:dyDescent="0.3">
      <c r="A165" s="24" t="s">
        <v>91</v>
      </c>
      <c r="B165" s="25" t="s">
        <v>92</v>
      </c>
      <c r="C165" s="14">
        <f>+C53/C114</f>
        <v>0</v>
      </c>
      <c r="D165" s="14"/>
      <c r="E165" s="14">
        <f t="shared" si="17"/>
        <v>0</v>
      </c>
      <c r="F165" s="15"/>
      <c r="G165" s="16" t="s">
        <v>17</v>
      </c>
      <c r="H165" s="13" t="s">
        <v>18</v>
      </c>
      <c r="I165" s="2">
        <f>+I51/C114</f>
        <v>0</v>
      </c>
      <c r="K165" s="17">
        <f t="shared" ref="K165:K168" si="18">+J165+I165</f>
        <v>0</v>
      </c>
    </row>
    <row r="166" spans="1:11" ht="12.75" hidden="1" customHeight="1" x14ac:dyDescent="0.3">
      <c r="A166" s="24"/>
      <c r="B166" s="25"/>
      <c r="C166" s="14"/>
      <c r="D166" s="14"/>
      <c r="E166" s="14"/>
      <c r="F166" s="15"/>
      <c r="G166" s="16" t="s">
        <v>57</v>
      </c>
      <c r="H166" s="13" t="s">
        <v>58</v>
      </c>
      <c r="I166" s="2">
        <f>+I52/C114</f>
        <v>0</v>
      </c>
      <c r="K166" s="17">
        <f t="shared" si="18"/>
        <v>0</v>
      </c>
    </row>
    <row r="167" spans="1:11" ht="12.75" hidden="1" customHeight="1" x14ac:dyDescent="0.3">
      <c r="A167" s="24"/>
      <c r="B167" s="25"/>
      <c r="C167" s="14"/>
      <c r="D167" s="14"/>
      <c r="E167" s="14"/>
      <c r="F167" s="15"/>
      <c r="G167" s="16" t="s">
        <v>21</v>
      </c>
      <c r="H167" s="13" t="s">
        <v>22</v>
      </c>
      <c r="I167" s="2">
        <f>+I53/C114</f>
        <v>0</v>
      </c>
      <c r="K167" s="17">
        <f t="shared" si="18"/>
        <v>0</v>
      </c>
    </row>
    <row r="168" spans="1:11" ht="12.75" hidden="1" customHeight="1" x14ac:dyDescent="0.3">
      <c r="A168" s="24"/>
      <c r="B168" s="25"/>
      <c r="C168" s="14"/>
      <c r="D168" s="14"/>
      <c r="E168" s="14"/>
      <c r="F168" s="15"/>
      <c r="G168" s="16" t="s">
        <v>25</v>
      </c>
      <c r="H168" s="13" t="s">
        <v>26</v>
      </c>
      <c r="I168" s="2">
        <f>+I54/C114</f>
        <v>0</v>
      </c>
      <c r="J168" s="14">
        <v>0</v>
      </c>
      <c r="K168" s="17">
        <f t="shared" si="18"/>
        <v>0</v>
      </c>
    </row>
    <row r="169" spans="1:11" ht="12.75" hidden="1" customHeight="1" x14ac:dyDescent="0.3">
      <c r="A169" s="24" t="s">
        <v>93</v>
      </c>
      <c r="B169" s="46" t="s">
        <v>94</v>
      </c>
      <c r="C169" s="14"/>
      <c r="D169" s="14">
        <v>0</v>
      </c>
      <c r="E169" s="14">
        <f t="shared" si="17"/>
        <v>0</v>
      </c>
      <c r="F169" s="15"/>
      <c r="G169" s="1"/>
      <c r="H169" s="1"/>
      <c r="I169" s="1"/>
      <c r="J169" s="1"/>
      <c r="K169" s="45"/>
    </row>
    <row r="170" spans="1:11" ht="12.75" hidden="1" customHeight="1" x14ac:dyDescent="0.3">
      <c r="A170" s="39"/>
      <c r="B170" s="32" t="s">
        <v>95</v>
      </c>
      <c r="C170" s="33">
        <f>+C164</f>
        <v>0</v>
      </c>
      <c r="D170" s="33">
        <f>+D164</f>
        <v>0</v>
      </c>
      <c r="E170" s="33">
        <f t="shared" si="17"/>
        <v>0</v>
      </c>
      <c r="F170" s="15"/>
      <c r="G170" s="34"/>
      <c r="H170" s="32" t="s">
        <v>96</v>
      </c>
      <c r="I170" s="35">
        <f>SUM(I162:I168)</f>
        <v>0</v>
      </c>
      <c r="J170" s="33">
        <f>SUM(J162:J168)</f>
        <v>0</v>
      </c>
      <c r="K170" s="33">
        <f t="shared" ref="K170" si="19">+J170+I170</f>
        <v>0</v>
      </c>
    </row>
    <row r="171" spans="1:11" ht="12.75" hidden="1" customHeight="1" x14ac:dyDescent="0.3">
      <c r="A171" s="24"/>
      <c r="B171" s="38"/>
      <c r="C171" s="17"/>
      <c r="D171" s="17"/>
      <c r="E171" s="17"/>
      <c r="F171" s="15"/>
      <c r="H171" s="29"/>
      <c r="I171" s="5"/>
      <c r="J171" s="17"/>
    </row>
    <row r="172" spans="1:11" ht="12.75" hidden="1" customHeight="1" x14ac:dyDescent="0.3">
      <c r="A172" s="20" t="s">
        <v>97</v>
      </c>
      <c r="B172" s="22" t="s">
        <v>98</v>
      </c>
      <c r="C172" s="17">
        <f>SUM(C173:C174)</f>
        <v>0</v>
      </c>
      <c r="D172" s="17">
        <f>SUM(D173:D174)</f>
        <v>0</v>
      </c>
      <c r="E172" s="17">
        <f t="shared" ref="E172:E174" si="20">SUM(C172:D172)</f>
        <v>0</v>
      </c>
      <c r="F172" s="15"/>
      <c r="I172" s="2"/>
    </row>
    <row r="173" spans="1:11" ht="12.75" hidden="1" customHeight="1" x14ac:dyDescent="0.3">
      <c r="A173" s="24" t="s">
        <v>99</v>
      </c>
      <c r="B173" s="38" t="s">
        <v>36</v>
      </c>
      <c r="C173" s="17"/>
      <c r="D173" s="17"/>
      <c r="E173" s="17">
        <f t="shared" si="20"/>
        <v>0</v>
      </c>
      <c r="F173" s="15"/>
      <c r="G173" s="16" t="s">
        <v>17</v>
      </c>
      <c r="H173" s="13" t="s">
        <v>18</v>
      </c>
      <c r="I173" s="2"/>
      <c r="K173" s="17">
        <f>+J190+I173</f>
        <v>0</v>
      </c>
    </row>
    <row r="174" spans="1:11" ht="12.75" hidden="1" customHeight="1" x14ac:dyDescent="0.3">
      <c r="A174" s="24" t="s">
        <v>100</v>
      </c>
      <c r="B174" s="47" t="s">
        <v>101</v>
      </c>
      <c r="C174" s="14"/>
      <c r="D174" s="48"/>
      <c r="E174" s="14">
        <f t="shared" si="20"/>
        <v>0</v>
      </c>
      <c r="F174" s="49"/>
      <c r="G174" s="16" t="s">
        <v>57</v>
      </c>
      <c r="H174" s="13" t="s">
        <v>58</v>
      </c>
      <c r="I174" s="1"/>
      <c r="K174" s="17">
        <f>+J191+I174</f>
        <v>0</v>
      </c>
    </row>
    <row r="175" spans="1:11" ht="12.75" hidden="1" customHeight="1" x14ac:dyDescent="0.3">
      <c r="A175" s="14"/>
      <c r="B175" s="2"/>
      <c r="C175" s="14"/>
      <c r="D175" s="48"/>
      <c r="E175" s="14"/>
      <c r="F175" s="49"/>
      <c r="G175" s="16" t="s">
        <v>21</v>
      </c>
      <c r="H175" s="13" t="s">
        <v>22</v>
      </c>
      <c r="I175" s="1"/>
      <c r="K175" s="17">
        <f>+J192+I175</f>
        <v>0</v>
      </c>
    </row>
    <row r="176" spans="1:11" ht="12.75" hidden="1" customHeight="1" x14ac:dyDescent="0.3">
      <c r="A176" s="50"/>
      <c r="B176" s="51" t="s">
        <v>102</v>
      </c>
      <c r="C176" s="33">
        <f>+C172</f>
        <v>0</v>
      </c>
      <c r="D176" s="52">
        <f>+D172</f>
        <v>0</v>
      </c>
      <c r="E176" s="33">
        <f t="shared" ref="E176" si="21">SUM(C176:D176)</f>
        <v>0</v>
      </c>
      <c r="F176" s="49"/>
      <c r="G176" s="34"/>
      <c r="H176" s="32" t="s">
        <v>103</v>
      </c>
      <c r="I176" s="35"/>
      <c r="J176" s="33"/>
      <c r="K176" s="33">
        <f>+J176+I176</f>
        <v>0</v>
      </c>
    </row>
    <row r="177" spans="1:11" ht="12.75" customHeight="1" x14ac:dyDescent="0.3">
      <c r="A177" s="14"/>
      <c r="B177" s="53"/>
      <c r="C177" s="14"/>
      <c r="D177" s="48"/>
      <c r="E177" s="14"/>
      <c r="F177" s="49"/>
      <c r="H177" s="29"/>
      <c r="I177" s="5"/>
      <c r="J177" s="17"/>
    </row>
    <row r="178" spans="1:11" ht="12.75" customHeight="1" x14ac:dyDescent="0.3">
      <c r="A178" s="20" t="s">
        <v>104</v>
      </c>
      <c r="B178" s="54" t="s">
        <v>105</v>
      </c>
      <c r="C178" s="17">
        <f>SUM(C179:C182)</f>
        <v>273</v>
      </c>
      <c r="D178" s="17">
        <f t="shared" ref="D178:E178" si="22">SUM(D179:D182)</f>
        <v>0</v>
      </c>
      <c r="E178" s="17">
        <f t="shared" si="22"/>
        <v>273</v>
      </c>
      <c r="F178" s="15"/>
      <c r="G178" s="16"/>
      <c r="I178" s="2"/>
    </row>
    <row r="179" spans="1:11" ht="12.75" hidden="1" customHeight="1" x14ac:dyDescent="0.3">
      <c r="A179" s="24" t="s">
        <v>106</v>
      </c>
      <c r="B179" s="56" t="s">
        <v>107</v>
      </c>
      <c r="C179" s="17"/>
      <c r="D179" s="48"/>
      <c r="E179" s="14">
        <f>SUM(C179:D179)</f>
        <v>0</v>
      </c>
      <c r="F179" s="49"/>
      <c r="I179" s="2"/>
      <c r="K179" s="17">
        <f>+J179+I179</f>
        <v>0</v>
      </c>
    </row>
    <row r="180" spans="1:11" ht="12.75" hidden="1" customHeight="1" x14ac:dyDescent="0.3">
      <c r="A180" s="24" t="s">
        <v>108</v>
      </c>
      <c r="B180" s="56" t="s">
        <v>109</v>
      </c>
      <c r="C180" s="17">
        <f>+C66/C114</f>
        <v>0</v>
      </c>
      <c r="D180" s="55">
        <v>0</v>
      </c>
      <c r="E180" s="14">
        <f t="shared" ref="E180:E182" si="23">SUM(C180:D180)</f>
        <v>0</v>
      </c>
      <c r="F180" s="49"/>
      <c r="G180" s="16" t="s">
        <v>21</v>
      </c>
      <c r="H180" s="13" t="s">
        <v>22</v>
      </c>
      <c r="I180" s="2">
        <f>+I66/C114</f>
        <v>0</v>
      </c>
      <c r="J180" s="14">
        <v>0</v>
      </c>
      <c r="K180" s="17">
        <f>+J180+I180</f>
        <v>0</v>
      </c>
    </row>
    <row r="181" spans="1:11" ht="13.8" hidden="1" customHeight="1" x14ac:dyDescent="0.3">
      <c r="A181" s="24" t="s">
        <v>110</v>
      </c>
      <c r="B181" s="56" t="s">
        <v>111</v>
      </c>
      <c r="C181" s="14"/>
      <c r="D181" s="48"/>
      <c r="E181" s="14">
        <f t="shared" si="23"/>
        <v>0</v>
      </c>
      <c r="F181" s="49"/>
      <c r="G181" s="1"/>
      <c r="H181" s="1"/>
      <c r="I181" s="1"/>
      <c r="J181" s="1"/>
      <c r="K181" s="45"/>
    </row>
    <row r="182" spans="1:11" ht="13.8" customHeight="1" x14ac:dyDescent="0.3">
      <c r="A182" s="24" t="s">
        <v>112</v>
      </c>
      <c r="B182" s="38" t="s">
        <v>113</v>
      </c>
      <c r="C182" s="14">
        <f>+C68/C114</f>
        <v>273</v>
      </c>
      <c r="D182" s="48"/>
      <c r="E182" s="14">
        <f t="shared" si="23"/>
        <v>273</v>
      </c>
      <c r="F182" s="49"/>
      <c r="G182" s="16" t="s">
        <v>17</v>
      </c>
      <c r="H182" s="13" t="s">
        <v>18</v>
      </c>
      <c r="I182" s="2">
        <f>+I64/C114</f>
        <v>273</v>
      </c>
      <c r="K182" s="17">
        <f>SUM(I182:J182)</f>
        <v>273</v>
      </c>
    </row>
    <row r="183" spans="1:11" ht="12.75" customHeight="1" x14ac:dyDescent="0.3">
      <c r="A183" s="24"/>
      <c r="B183" s="57"/>
      <c r="C183" s="14"/>
      <c r="D183" s="48"/>
      <c r="E183" s="14"/>
      <c r="F183" s="49"/>
      <c r="G183" s="16"/>
      <c r="I183" s="2"/>
    </row>
    <row r="184" spans="1:11" ht="12.75" customHeight="1" x14ac:dyDescent="0.3">
      <c r="A184" s="36"/>
      <c r="B184" s="51" t="s">
        <v>114</v>
      </c>
      <c r="C184" s="33">
        <f>+C178</f>
        <v>273</v>
      </c>
      <c r="D184" s="35">
        <f>+D178</f>
        <v>0</v>
      </c>
      <c r="E184" s="35">
        <f t="shared" ref="E184" si="24">SUM(C184:D184)</f>
        <v>273</v>
      </c>
      <c r="F184" s="49"/>
      <c r="G184" s="34"/>
      <c r="H184" s="32" t="s">
        <v>115</v>
      </c>
      <c r="I184" s="35">
        <f>SUM(I178:I183)</f>
        <v>273</v>
      </c>
      <c r="J184" s="33">
        <f>SUM(J179:J183)</f>
        <v>0</v>
      </c>
      <c r="K184" s="33">
        <f>SUM(K178:K183)</f>
        <v>273</v>
      </c>
    </row>
    <row r="185" spans="1:11" ht="12.75" customHeight="1" x14ac:dyDescent="0.3">
      <c r="C185" s="13"/>
      <c r="D185" s="1"/>
      <c r="E185" s="1"/>
      <c r="F185" s="49"/>
      <c r="G185" s="1"/>
      <c r="I185" s="1"/>
      <c r="J185" s="13"/>
      <c r="K185" s="29"/>
    </row>
    <row r="186" spans="1:11" ht="12.75" hidden="1" customHeight="1" x14ac:dyDescent="0.3">
      <c r="A186" s="20" t="s">
        <v>116</v>
      </c>
      <c r="B186" s="58" t="s">
        <v>117</v>
      </c>
      <c r="C186" s="17">
        <f>+C187</f>
        <v>0</v>
      </c>
      <c r="D186" s="55">
        <f>+D187</f>
        <v>0</v>
      </c>
      <c r="E186" s="17">
        <f t="shared" ref="E186:E188" si="25">SUM(C186:D186)</f>
        <v>0</v>
      </c>
      <c r="F186" s="49"/>
      <c r="G186" s="16" t="s">
        <v>17</v>
      </c>
      <c r="H186" s="13" t="s">
        <v>18</v>
      </c>
      <c r="I186" s="5"/>
      <c r="J186" s="17">
        <f>+D192</f>
        <v>0</v>
      </c>
      <c r="K186" s="17">
        <f>+J186</f>
        <v>0</v>
      </c>
    </row>
    <row r="187" spans="1:11" ht="12.75" hidden="1" customHeight="1" x14ac:dyDescent="0.3">
      <c r="A187" s="24" t="s">
        <v>118</v>
      </c>
      <c r="B187" s="57" t="s">
        <v>119</v>
      </c>
      <c r="C187" s="14"/>
      <c r="D187" s="48"/>
      <c r="E187" s="14">
        <f t="shared" si="25"/>
        <v>0</v>
      </c>
      <c r="F187" s="49"/>
      <c r="G187" s="1"/>
      <c r="I187" s="1"/>
      <c r="J187" s="13"/>
      <c r="K187" s="29"/>
    </row>
    <row r="188" spans="1:11" ht="12.75" hidden="1" customHeight="1" x14ac:dyDescent="0.3">
      <c r="A188" s="39"/>
      <c r="B188" s="51" t="s">
        <v>120</v>
      </c>
      <c r="C188" s="33">
        <f>+C186</f>
        <v>0</v>
      </c>
      <c r="D188" s="52">
        <f>+D186</f>
        <v>0</v>
      </c>
      <c r="E188" s="33">
        <f t="shared" si="25"/>
        <v>0</v>
      </c>
      <c r="F188" s="49"/>
      <c r="G188" s="34"/>
      <c r="H188" s="32" t="s">
        <v>121</v>
      </c>
      <c r="I188" s="35"/>
      <c r="J188" s="33">
        <f>+J186</f>
        <v>0</v>
      </c>
      <c r="K188" s="33">
        <f>+K186</f>
        <v>0</v>
      </c>
    </row>
    <row r="189" spans="1:11" ht="12.75" hidden="1" customHeight="1" x14ac:dyDescent="0.3">
      <c r="A189" s="24"/>
      <c r="B189" s="45"/>
      <c r="C189" s="17"/>
      <c r="D189" s="55"/>
      <c r="E189" s="17"/>
      <c r="F189" s="49"/>
      <c r="H189" s="29"/>
      <c r="I189" s="5"/>
      <c r="J189" s="17"/>
    </row>
    <row r="190" spans="1:11" ht="12.75" hidden="1" customHeight="1" x14ac:dyDescent="0.3">
      <c r="A190" s="20" t="s">
        <v>122</v>
      </c>
      <c r="B190" s="58" t="s">
        <v>123</v>
      </c>
      <c r="C190" s="17">
        <f>+C191</f>
        <v>0</v>
      </c>
      <c r="D190" s="55">
        <f>+D191</f>
        <v>0</v>
      </c>
      <c r="E190" s="17">
        <f t="shared" ref="E190:E191" si="26">SUM(C190:D190)</f>
        <v>0</v>
      </c>
      <c r="F190" s="49"/>
      <c r="G190" s="59" t="s">
        <v>17</v>
      </c>
      <c r="H190" s="14" t="s">
        <v>18</v>
      </c>
      <c r="I190" s="2"/>
      <c r="K190" s="17">
        <f>+J190+I190</f>
        <v>0</v>
      </c>
    </row>
    <row r="191" spans="1:11" ht="12.75" hidden="1" customHeight="1" x14ac:dyDescent="0.3">
      <c r="A191" s="24" t="s">
        <v>124</v>
      </c>
      <c r="B191" s="57" t="s">
        <v>125</v>
      </c>
      <c r="C191" s="17"/>
      <c r="D191" s="17"/>
      <c r="E191" s="55">
        <f t="shared" si="26"/>
        <v>0</v>
      </c>
      <c r="F191" s="49"/>
      <c r="G191" s="59" t="s">
        <v>57</v>
      </c>
      <c r="H191" s="14" t="s">
        <v>58</v>
      </c>
      <c r="I191" s="2"/>
      <c r="K191" s="17">
        <f>+J191+I191</f>
        <v>0</v>
      </c>
    </row>
    <row r="192" spans="1:11" ht="12.75" hidden="1" customHeight="1" x14ac:dyDescent="0.3">
      <c r="A192" s="61"/>
      <c r="B192" s="57"/>
      <c r="C192" s="17"/>
      <c r="D192" s="17"/>
      <c r="E192" s="55"/>
      <c r="F192" s="49"/>
      <c r="G192" s="59" t="s">
        <v>21</v>
      </c>
      <c r="H192" s="14" t="s">
        <v>22</v>
      </c>
      <c r="I192" s="1"/>
      <c r="K192" s="17">
        <f>+J192+I192</f>
        <v>0</v>
      </c>
    </row>
    <row r="193" spans="1:11" ht="12.75" hidden="1" customHeight="1" x14ac:dyDescent="0.3">
      <c r="A193" s="36"/>
      <c r="B193" s="62" t="s">
        <v>126</v>
      </c>
      <c r="C193" s="33">
        <f>+C190</f>
        <v>0</v>
      </c>
      <c r="D193" s="33">
        <f>+D190</f>
        <v>0</v>
      </c>
      <c r="E193" s="35">
        <f t="shared" ref="E193" si="27">SUM(C193:D193)</f>
        <v>0</v>
      </c>
      <c r="F193" s="49"/>
      <c r="G193" s="34"/>
      <c r="H193" s="43" t="s">
        <v>127</v>
      </c>
      <c r="I193" s="35"/>
      <c r="J193" s="33"/>
      <c r="K193" s="33">
        <f>+J193+I193</f>
        <v>0</v>
      </c>
    </row>
    <row r="194" spans="1:11" ht="12.75" hidden="1" customHeight="1" x14ac:dyDescent="0.3">
      <c r="C194" s="13"/>
      <c r="D194" s="13"/>
      <c r="E194" s="1"/>
      <c r="F194" s="49"/>
      <c r="G194" s="1"/>
      <c r="I194" s="1"/>
      <c r="J194" s="13"/>
      <c r="K194" s="29"/>
    </row>
    <row r="195" spans="1:11" ht="13.8" hidden="1" customHeight="1" x14ac:dyDescent="0.3">
      <c r="A195" s="20" t="s">
        <v>128</v>
      </c>
      <c r="B195" s="5" t="s">
        <v>129</v>
      </c>
      <c r="C195" s="17">
        <f>+C196</f>
        <v>0</v>
      </c>
      <c r="D195" s="17">
        <f>+D196</f>
        <v>0</v>
      </c>
      <c r="E195" s="55">
        <f t="shared" ref="E195:E197" si="28">SUM(C195:D195)</f>
        <v>0</v>
      </c>
      <c r="F195" s="49"/>
      <c r="G195" s="16" t="s">
        <v>25</v>
      </c>
      <c r="H195" s="13" t="s">
        <v>26</v>
      </c>
      <c r="I195" s="2"/>
      <c r="J195" s="14">
        <f>+D207</f>
        <v>0</v>
      </c>
      <c r="K195" s="17">
        <f>+J195+I195</f>
        <v>0</v>
      </c>
    </row>
    <row r="196" spans="1:11" ht="13.8" hidden="1" customHeight="1" x14ac:dyDescent="0.3">
      <c r="A196" s="24" t="s">
        <v>130</v>
      </c>
      <c r="B196" s="57" t="s">
        <v>131</v>
      </c>
      <c r="C196" s="17"/>
      <c r="D196" s="17"/>
      <c r="E196" s="55">
        <f t="shared" si="28"/>
        <v>0</v>
      </c>
      <c r="F196" s="49"/>
      <c r="G196" s="1"/>
      <c r="I196" s="1"/>
      <c r="J196" s="13"/>
      <c r="K196" s="29"/>
    </row>
    <row r="197" spans="1:11" ht="13.8" hidden="1" customHeight="1" x14ac:dyDescent="0.3">
      <c r="A197" s="39"/>
      <c r="B197" s="51" t="s">
        <v>132</v>
      </c>
      <c r="C197" s="33">
        <f>+C195</f>
        <v>0</v>
      </c>
      <c r="D197" s="33">
        <f>+D195</f>
        <v>0</v>
      </c>
      <c r="E197" s="52">
        <f t="shared" si="28"/>
        <v>0</v>
      </c>
      <c r="F197" s="49"/>
      <c r="G197" s="34"/>
      <c r="H197" s="32" t="s">
        <v>133</v>
      </c>
      <c r="I197" s="35"/>
      <c r="J197" s="33">
        <f>+J195</f>
        <v>0</v>
      </c>
      <c r="K197" s="33">
        <f>+J197+I197</f>
        <v>0</v>
      </c>
    </row>
    <row r="198" spans="1:11" ht="13.8" hidden="1" customHeight="1" x14ac:dyDescent="0.3">
      <c r="A198" s="64"/>
      <c r="B198" s="53"/>
      <c r="C198" s="17"/>
      <c r="D198" s="17"/>
      <c r="E198" s="55"/>
      <c r="F198" s="49"/>
      <c r="G198" s="16"/>
      <c r="H198" s="29"/>
      <c r="I198" s="5"/>
      <c r="J198" s="17"/>
    </row>
    <row r="199" spans="1:11" ht="13.8" hidden="1" customHeight="1" x14ac:dyDescent="0.3">
      <c r="A199" s="65" t="s">
        <v>134</v>
      </c>
      <c r="B199" s="66" t="s">
        <v>135</v>
      </c>
      <c r="C199" s="17">
        <f>+C200</f>
        <v>0</v>
      </c>
      <c r="D199" s="17">
        <f>+D200</f>
        <v>0</v>
      </c>
      <c r="E199" s="55">
        <f t="shared" ref="E199:E200" si="29">SUM(C199:D199)</f>
        <v>0</v>
      </c>
      <c r="F199" s="49"/>
      <c r="G199" s="16" t="s">
        <v>136</v>
      </c>
      <c r="H199" s="13" t="s">
        <v>137</v>
      </c>
      <c r="I199" s="2"/>
      <c r="K199" s="17">
        <f>+J199+I199</f>
        <v>0</v>
      </c>
    </row>
    <row r="200" spans="1:11" ht="13.8" hidden="1" customHeight="1" x14ac:dyDescent="0.3">
      <c r="A200" s="24" t="s">
        <v>138</v>
      </c>
      <c r="B200" s="38" t="s">
        <v>139</v>
      </c>
      <c r="C200" s="14"/>
      <c r="D200" s="14"/>
      <c r="E200" s="48">
        <f t="shared" si="29"/>
        <v>0</v>
      </c>
      <c r="F200" s="49"/>
      <c r="G200" s="16" t="s">
        <v>17</v>
      </c>
      <c r="H200" s="13" t="s">
        <v>18</v>
      </c>
      <c r="I200" s="2"/>
      <c r="K200" s="17">
        <f>+J200+I200</f>
        <v>0</v>
      </c>
    </row>
    <row r="201" spans="1:11" ht="13.8" hidden="1" customHeight="1" x14ac:dyDescent="0.3">
      <c r="A201" s="24"/>
      <c r="B201" s="38"/>
      <c r="C201" s="17"/>
      <c r="D201" s="17"/>
      <c r="E201" s="17"/>
      <c r="F201" s="49"/>
      <c r="G201" s="16" t="s">
        <v>21</v>
      </c>
      <c r="H201" s="13" t="s">
        <v>22</v>
      </c>
      <c r="I201" s="2"/>
      <c r="K201" s="17">
        <f>+J201+I201</f>
        <v>0</v>
      </c>
    </row>
    <row r="202" spans="1:11" ht="13.8" hidden="1" customHeight="1" x14ac:dyDescent="0.3">
      <c r="A202" s="24"/>
      <c r="B202" s="38"/>
      <c r="C202" s="17"/>
      <c r="D202" s="17"/>
      <c r="E202" s="17"/>
      <c r="F202" s="49"/>
      <c r="G202" s="16" t="s">
        <v>25</v>
      </c>
      <c r="H202" s="13" t="s">
        <v>26</v>
      </c>
      <c r="I202" s="2"/>
      <c r="K202" s="17">
        <f>+J202+I202</f>
        <v>0</v>
      </c>
    </row>
    <row r="203" spans="1:11" ht="13.8" hidden="1" customHeight="1" x14ac:dyDescent="0.3">
      <c r="A203" s="39"/>
      <c r="B203" s="32" t="s">
        <v>140</v>
      </c>
      <c r="C203" s="33">
        <f>+C199</f>
        <v>0</v>
      </c>
      <c r="D203" s="33">
        <f>+D199</f>
        <v>0</v>
      </c>
      <c r="E203" s="33">
        <f t="shared" ref="E203" si="30">SUM(C203:D203)</f>
        <v>0</v>
      </c>
      <c r="F203" s="49"/>
      <c r="G203" s="34"/>
      <c r="H203" s="32" t="s">
        <v>141</v>
      </c>
      <c r="I203" s="35">
        <f>SUM(I199:I202)</f>
        <v>0</v>
      </c>
      <c r="J203" s="33">
        <f>SUM(J199:J202)</f>
        <v>0</v>
      </c>
      <c r="K203" s="33">
        <f>SUM(K199:K202)</f>
        <v>0</v>
      </c>
    </row>
    <row r="204" spans="1:11" ht="13.8" hidden="1" customHeight="1" x14ac:dyDescent="0.3">
      <c r="A204" s="24"/>
      <c r="B204" s="38"/>
      <c r="C204" s="17"/>
      <c r="D204" s="17"/>
      <c r="E204" s="17"/>
      <c r="F204" s="49"/>
      <c r="G204" s="1"/>
      <c r="I204" s="1"/>
      <c r="J204" s="13"/>
      <c r="K204" s="29"/>
    </row>
    <row r="205" spans="1:11" ht="13.8" customHeight="1" x14ac:dyDescent="0.3">
      <c r="A205" s="67" t="s">
        <v>142</v>
      </c>
      <c r="B205" s="21" t="s">
        <v>143</v>
      </c>
      <c r="C205" s="17">
        <f>SUM(C206:C207)</f>
        <v>27348.35744</v>
      </c>
      <c r="D205" s="17">
        <f>SUM(D206:D207)</f>
        <v>0</v>
      </c>
      <c r="E205" s="17">
        <f t="shared" ref="E205:E208" si="31">SUM(C205:D205)</f>
        <v>27348.35744</v>
      </c>
      <c r="F205" s="49"/>
      <c r="G205" s="16" t="s">
        <v>17</v>
      </c>
      <c r="H205" s="13" t="s">
        <v>18</v>
      </c>
      <c r="I205" s="2">
        <f>+I91/C114</f>
        <v>8931.8224370000007</v>
      </c>
      <c r="J205" s="13"/>
      <c r="K205" s="17">
        <f>SUM(I205:J205)</f>
        <v>8931.8224370000007</v>
      </c>
    </row>
    <row r="206" spans="1:11" ht="13.8" customHeight="1" x14ac:dyDescent="0.3">
      <c r="A206" s="67" t="s">
        <v>144</v>
      </c>
      <c r="B206" s="21" t="s">
        <v>145</v>
      </c>
      <c r="C206" s="17">
        <f>+C92/C114</f>
        <v>27348.35744</v>
      </c>
      <c r="D206" s="17"/>
      <c r="E206" s="17">
        <f t="shared" si="31"/>
        <v>27348.35744</v>
      </c>
      <c r="F206" s="49"/>
      <c r="G206" s="1" t="s">
        <v>57</v>
      </c>
      <c r="H206" s="13" t="s">
        <v>58</v>
      </c>
      <c r="I206" s="2">
        <f>+I92/C114</f>
        <v>2278.9349999999999</v>
      </c>
      <c r="K206" s="17">
        <f t="shared" ref="K206:K207" si="32">SUM(I206:J206)</f>
        <v>2278.9349999999999</v>
      </c>
    </row>
    <row r="207" spans="1:11" ht="13.8" customHeight="1" x14ac:dyDescent="0.3">
      <c r="A207" s="67" t="s">
        <v>146</v>
      </c>
      <c r="B207" s="21" t="s">
        <v>147</v>
      </c>
      <c r="C207" s="14"/>
      <c r="D207" s="14"/>
      <c r="E207" s="14">
        <f t="shared" si="31"/>
        <v>0</v>
      </c>
      <c r="F207" s="49"/>
      <c r="G207" s="1" t="s">
        <v>25</v>
      </c>
      <c r="H207" s="13" t="s">
        <v>26</v>
      </c>
      <c r="I207" s="2">
        <f>+I93/C114</f>
        <v>16137.6</v>
      </c>
      <c r="K207" s="17">
        <f t="shared" si="32"/>
        <v>16137.6</v>
      </c>
    </row>
    <row r="208" spans="1:11" ht="13.8" customHeight="1" x14ac:dyDescent="0.3">
      <c r="A208" s="68"/>
      <c r="B208" s="32" t="s">
        <v>148</v>
      </c>
      <c r="C208" s="33">
        <f>+C205</f>
        <v>27348.35744</v>
      </c>
      <c r="D208" s="33">
        <f>+D205</f>
        <v>0</v>
      </c>
      <c r="E208" s="33">
        <f t="shared" si="31"/>
        <v>27348.35744</v>
      </c>
      <c r="F208" s="49"/>
      <c r="G208" s="34"/>
      <c r="H208" s="32" t="s">
        <v>149</v>
      </c>
      <c r="I208" s="35">
        <f>SUM(I205:I207)</f>
        <v>27348.357436999999</v>
      </c>
      <c r="J208" s="35">
        <f t="shared" ref="J208:K208" si="33">SUM(J205:J207)</f>
        <v>0</v>
      </c>
      <c r="K208" s="35">
        <f t="shared" si="33"/>
        <v>27348.357436999999</v>
      </c>
    </row>
    <row r="209" spans="1:11" ht="13.8" customHeight="1" x14ac:dyDescent="0.3">
      <c r="A209" s="61"/>
      <c r="B209" s="69"/>
      <c r="C209" s="17"/>
      <c r="D209" s="17"/>
      <c r="E209" s="17"/>
      <c r="F209" s="49"/>
      <c r="G209" s="1"/>
      <c r="I209" s="1"/>
      <c r="J209" s="13"/>
      <c r="K209" s="29"/>
    </row>
    <row r="210" spans="1:11" ht="13.8" hidden="1" customHeight="1" x14ac:dyDescent="0.3">
      <c r="A210" s="70" t="s">
        <v>150</v>
      </c>
      <c r="B210" s="71" t="s">
        <v>151</v>
      </c>
      <c r="C210" s="17">
        <f t="shared" ref="C210:D212" si="34">+C211</f>
        <v>0</v>
      </c>
      <c r="D210" s="17">
        <f t="shared" si="34"/>
        <v>0</v>
      </c>
      <c r="E210" s="17">
        <f t="shared" ref="E210:E215" si="35">SUM(C210:D210)</f>
        <v>0</v>
      </c>
      <c r="F210" s="49"/>
      <c r="G210" s="1"/>
      <c r="I210" s="1"/>
      <c r="J210" s="13"/>
      <c r="K210" s="29"/>
    </row>
    <row r="211" spans="1:11" ht="13.8" hidden="1" customHeight="1" x14ac:dyDescent="0.3">
      <c r="A211" s="29" t="s">
        <v>152</v>
      </c>
      <c r="B211" s="72" t="s">
        <v>153</v>
      </c>
      <c r="C211" s="17">
        <f t="shared" si="34"/>
        <v>0</v>
      </c>
      <c r="D211" s="17">
        <f t="shared" si="34"/>
        <v>0</v>
      </c>
      <c r="E211" s="17">
        <f t="shared" si="35"/>
        <v>0</v>
      </c>
      <c r="F211" s="49"/>
      <c r="G211" s="16"/>
      <c r="I211" s="1"/>
    </row>
    <row r="212" spans="1:11" ht="13.8" hidden="1" customHeight="1" x14ac:dyDescent="0.3">
      <c r="A212" s="29" t="s">
        <v>154</v>
      </c>
      <c r="B212" s="72" t="s">
        <v>155</v>
      </c>
      <c r="C212" s="14">
        <f>+C214</f>
        <v>0</v>
      </c>
      <c r="D212" s="14">
        <f t="shared" si="34"/>
        <v>0</v>
      </c>
      <c r="E212" s="14">
        <f t="shared" si="35"/>
        <v>0</v>
      </c>
      <c r="F212" s="49"/>
      <c r="G212" s="16"/>
      <c r="I212" s="2"/>
    </row>
    <row r="213" spans="1:11" ht="13.8" hidden="1" customHeight="1" x14ac:dyDescent="0.3">
      <c r="A213" s="13" t="s">
        <v>156</v>
      </c>
      <c r="B213" s="41" t="s">
        <v>157</v>
      </c>
      <c r="C213" s="14"/>
      <c r="D213" s="14"/>
      <c r="E213" s="14">
        <f t="shared" si="35"/>
        <v>0</v>
      </c>
      <c r="F213" s="49"/>
      <c r="G213" s="1"/>
      <c r="I213" s="1"/>
      <c r="J213" s="13"/>
      <c r="K213" s="29"/>
    </row>
    <row r="214" spans="1:11" ht="13.8" hidden="1" customHeight="1" x14ac:dyDescent="0.3">
      <c r="A214" s="13" t="s">
        <v>158</v>
      </c>
      <c r="B214" s="41" t="s">
        <v>159</v>
      </c>
      <c r="C214" s="14">
        <f>+I214</f>
        <v>0</v>
      </c>
      <c r="D214" s="14"/>
      <c r="E214" s="14">
        <f>SUM(C214:D214)</f>
        <v>0</v>
      </c>
      <c r="F214" s="49"/>
      <c r="G214" s="16" t="s">
        <v>21</v>
      </c>
      <c r="H214" s="13" t="s">
        <v>22</v>
      </c>
      <c r="I214" s="2">
        <f>+I100/C114</f>
        <v>0</v>
      </c>
      <c r="K214" s="17">
        <f>SUM(I214:J214)</f>
        <v>0</v>
      </c>
    </row>
    <row r="215" spans="1:11" ht="13.8" hidden="1" customHeight="1" x14ac:dyDescent="0.3">
      <c r="A215" s="32"/>
      <c r="B215" s="32" t="s">
        <v>160</v>
      </c>
      <c r="C215" s="33">
        <f>+C211</f>
        <v>0</v>
      </c>
      <c r="D215" s="33">
        <f>+D211</f>
        <v>0</v>
      </c>
      <c r="E215" s="33">
        <f t="shared" si="35"/>
        <v>0</v>
      </c>
      <c r="F215" s="49"/>
      <c r="G215" s="34"/>
      <c r="H215" s="32" t="s">
        <v>161</v>
      </c>
      <c r="I215" s="35">
        <f>SUM(I214)</f>
        <v>0</v>
      </c>
      <c r="J215" s="35">
        <f t="shared" ref="J215:K215" si="36">SUM(J214)</f>
        <v>0</v>
      </c>
      <c r="K215" s="35">
        <f t="shared" si="36"/>
        <v>0</v>
      </c>
    </row>
    <row r="216" spans="1:11" hidden="1" x14ac:dyDescent="0.3">
      <c r="A216" s="29"/>
      <c r="B216" s="72"/>
      <c r="C216" s="14"/>
      <c r="D216" s="14"/>
      <c r="E216" s="14"/>
      <c r="F216" s="49"/>
      <c r="G216" s="16"/>
      <c r="H216" s="29"/>
      <c r="I216" s="5"/>
      <c r="J216" s="17"/>
    </row>
    <row r="217" spans="1:11" x14ac:dyDescent="0.3">
      <c r="A217" s="18" t="s">
        <v>162</v>
      </c>
      <c r="B217" s="71" t="s">
        <v>163</v>
      </c>
      <c r="C217" s="17">
        <f>+C218</f>
        <v>1227954.7272296192</v>
      </c>
      <c r="D217" s="17">
        <f>+D218</f>
        <v>507408.05122000002</v>
      </c>
      <c r="E217" s="17">
        <f t="shared" ref="E217:E221" si="37">SUM(C217:D217)</f>
        <v>1735362.7784496192</v>
      </c>
      <c r="F217" s="49"/>
      <c r="G217" s="16" t="s">
        <v>57</v>
      </c>
      <c r="H217" s="13" t="s">
        <v>58</v>
      </c>
      <c r="I217" s="2"/>
      <c r="J217" s="14">
        <f>+J103/C114</f>
        <v>261050.02173000004</v>
      </c>
      <c r="K217" s="17">
        <f t="shared" ref="K217:K219" si="38">SUM(I217:J217)</f>
        <v>261050.02173000004</v>
      </c>
    </row>
    <row r="218" spans="1:11" x14ac:dyDescent="0.3">
      <c r="A218" s="67" t="s">
        <v>164</v>
      </c>
      <c r="B218" s="72" t="s">
        <v>165</v>
      </c>
      <c r="C218" s="17">
        <f>SUM(C219:C220)</f>
        <v>1227954.7272296192</v>
      </c>
      <c r="D218" s="17">
        <f>+D219</f>
        <v>507408.05122000002</v>
      </c>
      <c r="E218" s="17">
        <f t="shared" si="37"/>
        <v>1735362.7784496192</v>
      </c>
      <c r="F218" s="49"/>
      <c r="G218" s="16" t="s">
        <v>166</v>
      </c>
      <c r="H218" s="13" t="s">
        <v>167</v>
      </c>
      <c r="I218" s="2">
        <f>+I104/C114</f>
        <v>662707.68696999992</v>
      </c>
      <c r="K218" s="17">
        <f t="shared" si="38"/>
        <v>662707.68696999992</v>
      </c>
    </row>
    <row r="219" spans="1:11" x14ac:dyDescent="0.3">
      <c r="A219" s="67" t="s">
        <v>168</v>
      </c>
      <c r="B219" s="72" t="s">
        <v>169</v>
      </c>
      <c r="C219" s="17">
        <f>+C105/C114</f>
        <v>1227954.7272296192</v>
      </c>
      <c r="D219" s="17">
        <f>+D220</f>
        <v>507408.05122000002</v>
      </c>
      <c r="E219" s="17">
        <f t="shared" si="37"/>
        <v>1735362.7784496192</v>
      </c>
      <c r="F219" s="49"/>
      <c r="G219" s="16" t="s">
        <v>21</v>
      </c>
      <c r="H219" s="13" t="s">
        <v>22</v>
      </c>
      <c r="I219" s="2">
        <f>+I105/C114</f>
        <v>565247.04025961913</v>
      </c>
      <c r="J219" s="14">
        <f>+J105/C114</f>
        <v>246358.02949000002</v>
      </c>
      <c r="K219" s="17">
        <f t="shared" si="38"/>
        <v>811605.06974961911</v>
      </c>
    </row>
    <row r="220" spans="1:11" x14ac:dyDescent="0.3">
      <c r="A220" s="67" t="s">
        <v>170</v>
      </c>
      <c r="B220" s="72" t="s">
        <v>171</v>
      </c>
      <c r="C220" s="14"/>
      <c r="D220" s="14">
        <f>+D106/C114</f>
        <v>507408.05122000002</v>
      </c>
      <c r="E220" s="14">
        <f t="shared" si="37"/>
        <v>507408.05122000002</v>
      </c>
      <c r="F220" s="49"/>
    </row>
    <row r="221" spans="1:11" hidden="1" x14ac:dyDescent="0.3">
      <c r="A221" s="67"/>
      <c r="B221" s="72"/>
      <c r="C221" s="14"/>
      <c r="D221" s="14"/>
      <c r="E221" s="14">
        <f t="shared" si="37"/>
        <v>0</v>
      </c>
      <c r="F221" s="49"/>
    </row>
    <row r="222" spans="1:11" x14ac:dyDescent="0.3">
      <c r="A222" s="67"/>
      <c r="B222" s="72"/>
      <c r="C222" s="14"/>
      <c r="D222" s="14"/>
      <c r="E222" s="14"/>
      <c r="F222" s="49"/>
      <c r="G222" s="16"/>
      <c r="I222" s="2"/>
    </row>
    <row r="223" spans="1:11" ht="14.4" thickBot="1" x14ac:dyDescent="0.35">
      <c r="A223" s="68"/>
      <c r="B223" s="32" t="s">
        <v>172</v>
      </c>
      <c r="C223" s="33">
        <f>+C217</f>
        <v>1227954.7272296192</v>
      </c>
      <c r="D223" s="33">
        <f>+D217</f>
        <v>507408.05122000002</v>
      </c>
      <c r="E223" s="33">
        <f t="shared" ref="E223" si="39">SUM(C223:D223)</f>
        <v>1735362.7784496192</v>
      </c>
      <c r="F223" s="49"/>
      <c r="G223" s="34"/>
      <c r="H223" s="73" t="s">
        <v>173</v>
      </c>
      <c r="I223" s="35">
        <f>+I219+I218</f>
        <v>1227954.7272296189</v>
      </c>
      <c r="J223" s="35">
        <f>SUM(J217:J219)</f>
        <v>507408.05122000002</v>
      </c>
      <c r="K223" s="74">
        <f>SUM(K217:K219)</f>
        <v>1735362.7784496192</v>
      </c>
    </row>
    <row r="224" spans="1:11" ht="14.4" thickTop="1" x14ac:dyDescent="0.3">
      <c r="A224" s="75"/>
      <c r="B224" s="76"/>
      <c r="C224" s="77"/>
      <c r="D224" s="77"/>
      <c r="E224" s="77"/>
      <c r="F224" s="78"/>
      <c r="G224" s="79"/>
      <c r="H224" s="80"/>
      <c r="I224" s="77"/>
      <c r="J224" s="77"/>
      <c r="K224" s="81"/>
    </row>
    <row r="225" spans="1:11" x14ac:dyDescent="0.3">
      <c r="A225" s="83" t="s">
        <v>174</v>
      </c>
      <c r="B225" s="84"/>
      <c r="C225" s="85">
        <f>+C217+C210+C122</f>
        <v>1255303.0846696191</v>
      </c>
      <c r="D225" s="85">
        <f>+D217+D210+D122</f>
        <v>507408.05122000002</v>
      </c>
      <c r="E225" s="85">
        <f>SUM(C225:D225)</f>
        <v>1762711.1358896191</v>
      </c>
      <c r="F225" s="86"/>
      <c r="G225" s="87"/>
      <c r="H225" s="88" t="s">
        <v>175</v>
      </c>
      <c r="I225" s="85">
        <f>+I135+I184+I188+I197+I208+I151+I223+I203+I176+I170+I160+I215+I142</f>
        <v>1255576.0846666188</v>
      </c>
      <c r="J225" s="85">
        <f>+J135+J184+J188+J197+J208+J151+J223+J203+J176+J170+J160+J215+J142+J193</f>
        <v>507408.05122000002</v>
      </c>
      <c r="K225" s="85">
        <f>+K135+K184+K188+K197+K208+K151+K223+K203+K176+K170+K160+K215+K142+K193</f>
        <v>1762984.1358866191</v>
      </c>
    </row>
    <row r="226" spans="1:11" ht="14.4" thickBot="1" x14ac:dyDescent="0.35">
      <c r="A226" s="89"/>
      <c r="B226" s="90"/>
      <c r="C226" s="91"/>
      <c r="D226" s="91"/>
      <c r="E226" s="91"/>
      <c r="F226" s="92"/>
      <c r="G226" s="93"/>
      <c r="H226" s="94"/>
      <c r="I226" s="91"/>
      <c r="J226" s="91"/>
      <c r="K226" s="95"/>
    </row>
  </sheetData>
  <mergeCells count="12">
    <mergeCell ref="A3:K3"/>
    <mergeCell ref="A4:K4"/>
    <mergeCell ref="A5:K5"/>
    <mergeCell ref="A6:K6"/>
    <mergeCell ref="A8:B8"/>
    <mergeCell ref="G8:H8"/>
    <mergeCell ref="A116:K116"/>
    <mergeCell ref="A117:K117"/>
    <mergeCell ref="A118:K118"/>
    <mergeCell ref="A119:K119"/>
    <mergeCell ref="A120:B120"/>
    <mergeCell ref="G120:H120"/>
  </mergeCells>
  <printOptions horizontalCentered="1"/>
  <pageMargins left="0.19685039370078741" right="0.19685039370078741" top="0.59055118110236227" bottom="0.51181102362204722" header="0" footer="0"/>
  <pageSetup scale="59" orientation="landscape" verticalDpi="144"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0901CF-0754-4C37-8B31-3BCC63E7271E}">
  <sheetPr>
    <tabColor rgb="FFEE0000"/>
  </sheetPr>
  <dimension ref="A1:O173"/>
  <sheetViews>
    <sheetView workbookViewId="0">
      <selection activeCell="E7" sqref="E7:G7"/>
    </sheetView>
  </sheetViews>
  <sheetFormatPr baseColWidth="10" defaultColWidth="11.44140625" defaultRowHeight="13.8" x14ac:dyDescent="0.3"/>
  <cols>
    <col min="1" max="1" width="22.5546875" style="99" customWidth="1"/>
    <col min="2" max="2" width="44.44140625" style="99" customWidth="1"/>
    <col min="3" max="3" width="15.44140625" style="100" bestFit="1" customWidth="1"/>
    <col min="4" max="4" width="3.21875" style="126" customWidth="1"/>
    <col min="5" max="5" width="30.21875" style="99" customWidth="1"/>
    <col min="6" max="6" width="15.77734375" style="100" customWidth="1"/>
    <col min="7" max="7" width="15.44140625" style="99" bestFit="1" customWidth="1"/>
    <col min="8" max="8" width="15.77734375" style="101" customWidth="1"/>
    <col min="9" max="9" width="15.44140625" style="99" customWidth="1"/>
    <col min="10" max="10" width="17.5546875" style="99" bestFit="1" customWidth="1"/>
    <col min="11" max="11" width="14.77734375" style="102" bestFit="1" customWidth="1"/>
    <col min="12" max="12" width="15.21875" style="99" bestFit="1" customWidth="1"/>
    <col min="13" max="13" width="12.21875" style="99" bestFit="1" customWidth="1"/>
    <col min="14" max="14" width="11.44140625" style="99"/>
    <col min="15" max="15" width="12.21875" style="99" bestFit="1" customWidth="1"/>
    <col min="16" max="16384" width="11.44140625" style="99"/>
  </cols>
  <sheetData>
    <row r="1" spans="1:14" x14ac:dyDescent="0.3">
      <c r="D1" s="99"/>
    </row>
    <row r="2" spans="1:14" s="102" customFormat="1" x14ac:dyDescent="0.3">
      <c r="A2" s="103"/>
      <c r="B2" s="103"/>
      <c r="C2" s="104"/>
      <c r="D2" s="103"/>
      <c r="E2" s="105" t="s">
        <v>0</v>
      </c>
      <c r="F2" s="105"/>
      <c r="G2" s="105"/>
      <c r="H2" s="105"/>
      <c r="I2" s="105"/>
      <c r="J2" s="99"/>
      <c r="L2" s="99"/>
      <c r="M2" s="99"/>
      <c r="N2" s="99"/>
    </row>
    <row r="3" spans="1:14" s="102" customFormat="1" x14ac:dyDescent="0.3">
      <c r="A3" s="103"/>
      <c r="B3" s="103"/>
      <c r="C3" s="104"/>
      <c r="D3" s="103"/>
      <c r="E3" s="105" t="s">
        <v>177</v>
      </c>
      <c r="F3" s="105"/>
      <c r="G3" s="105"/>
      <c r="H3" s="105"/>
      <c r="I3" s="105"/>
      <c r="J3" s="99"/>
      <c r="L3" s="99"/>
      <c r="M3" s="99"/>
      <c r="N3" s="99"/>
    </row>
    <row r="4" spans="1:14" s="102" customFormat="1" x14ac:dyDescent="0.3">
      <c r="A4" s="103"/>
      <c r="B4" s="248" t="s">
        <v>178</v>
      </c>
      <c r="C4" s="248"/>
      <c r="D4" s="248"/>
      <c r="E4" s="248"/>
      <c r="F4" s="248"/>
      <c r="G4" s="248"/>
      <c r="H4" s="248"/>
      <c r="I4" s="248"/>
      <c r="J4" s="106"/>
      <c r="L4" s="99"/>
      <c r="M4" s="99"/>
      <c r="N4" s="99"/>
    </row>
    <row r="5" spans="1:14" s="102" customFormat="1" x14ac:dyDescent="0.3">
      <c r="A5" s="103"/>
      <c r="B5" s="103"/>
      <c r="C5" s="104"/>
      <c r="D5" s="103"/>
      <c r="E5" s="105" t="s">
        <v>179</v>
      </c>
      <c r="F5" s="105"/>
      <c r="G5" s="105"/>
      <c r="H5" s="105"/>
      <c r="I5" s="105"/>
      <c r="J5" s="99"/>
      <c r="L5" s="99"/>
      <c r="M5" s="99"/>
      <c r="N5" s="99"/>
    </row>
    <row r="6" spans="1:14" s="102" customFormat="1" x14ac:dyDescent="0.3">
      <c r="A6" s="103"/>
      <c r="B6" s="103"/>
      <c r="C6" s="104"/>
      <c r="D6" s="103"/>
      <c r="E6" s="105" t="s">
        <v>180</v>
      </c>
      <c r="F6" s="105"/>
      <c r="G6" s="105"/>
      <c r="H6" s="105"/>
      <c r="I6" s="105"/>
      <c r="J6" s="99"/>
      <c r="L6" s="99"/>
      <c r="M6" s="99"/>
      <c r="N6" s="99"/>
    </row>
    <row r="7" spans="1:14" s="102" customFormat="1" x14ac:dyDescent="0.3">
      <c r="A7" s="99"/>
      <c r="B7" s="99"/>
      <c r="C7" s="100"/>
      <c r="D7" s="99"/>
      <c r="E7" s="248"/>
      <c r="F7" s="248"/>
      <c r="G7" s="248"/>
      <c r="H7" s="101"/>
      <c r="I7" s="99"/>
      <c r="J7" s="99"/>
      <c r="L7" s="99"/>
      <c r="M7" s="99"/>
      <c r="N7" s="99"/>
    </row>
    <row r="8" spans="1:14" s="102" customFormat="1" ht="27.6" x14ac:dyDescent="0.3">
      <c r="A8" s="249" t="s">
        <v>4</v>
      </c>
      <c r="B8" s="249"/>
      <c r="C8" s="107" t="s">
        <v>181</v>
      </c>
      <c r="D8" s="107"/>
      <c r="E8" s="108" t="s">
        <v>182</v>
      </c>
      <c r="F8" s="109" t="s">
        <v>183</v>
      </c>
      <c r="G8" s="109" t="s">
        <v>184</v>
      </c>
      <c r="H8" s="109" t="s">
        <v>185</v>
      </c>
      <c r="I8" s="109" t="s">
        <v>186</v>
      </c>
      <c r="J8" s="99"/>
      <c r="L8" s="99"/>
      <c r="M8" s="99"/>
      <c r="N8" s="99"/>
    </row>
    <row r="9" spans="1:14" s="102" customFormat="1" x14ac:dyDescent="0.3">
      <c r="A9" s="1"/>
      <c r="B9" s="1"/>
      <c r="C9" s="2"/>
      <c r="D9" s="110"/>
      <c r="E9" s="106"/>
      <c r="F9" s="100"/>
      <c r="G9" s="100"/>
      <c r="H9" s="111"/>
      <c r="I9" s="100"/>
      <c r="J9" s="99"/>
      <c r="L9" s="99"/>
      <c r="M9" s="99"/>
      <c r="N9" s="99"/>
    </row>
    <row r="10" spans="1:14" s="102" customFormat="1" x14ac:dyDescent="0.3">
      <c r="A10" s="112" t="s">
        <v>9</v>
      </c>
      <c r="B10" s="113" t="s">
        <v>10</v>
      </c>
      <c r="C10" s="5">
        <v>27621.35744</v>
      </c>
      <c r="D10" s="110"/>
      <c r="E10" s="106" t="s">
        <v>187</v>
      </c>
      <c r="F10" s="114">
        <f>+F12+F18</f>
        <v>288671.37916699995</v>
      </c>
      <c r="G10" s="114">
        <f>+G12+G18</f>
        <v>271622.73916699999</v>
      </c>
      <c r="H10" s="114">
        <f>+H12+H18</f>
        <v>17048.64</v>
      </c>
      <c r="I10" s="114">
        <f>+I12+I18</f>
        <v>0</v>
      </c>
      <c r="J10" s="99"/>
      <c r="L10" s="99"/>
      <c r="M10" s="99"/>
      <c r="N10" s="99"/>
    </row>
    <row r="11" spans="1:14" s="102" customFormat="1" x14ac:dyDescent="0.3">
      <c r="A11" s="112"/>
      <c r="B11" s="58"/>
      <c r="C11" s="5"/>
      <c r="D11" s="110"/>
      <c r="E11" s="106"/>
      <c r="F11" s="100"/>
      <c r="G11" s="100"/>
      <c r="H11" s="100"/>
      <c r="I11" s="100"/>
      <c r="J11" s="99"/>
      <c r="L11" s="99"/>
      <c r="M11" s="99"/>
      <c r="N11" s="99"/>
    </row>
    <row r="12" spans="1:14" s="102" customFormat="1" x14ac:dyDescent="0.3">
      <c r="A12" s="112" t="s">
        <v>85</v>
      </c>
      <c r="B12" s="58" t="s">
        <v>86</v>
      </c>
      <c r="C12" s="2">
        <v>27621.35744</v>
      </c>
      <c r="D12" s="110"/>
      <c r="E12" s="106" t="s">
        <v>188</v>
      </c>
      <c r="F12" s="114">
        <f>SUM(G12:I12)</f>
        <v>272533.77916699997</v>
      </c>
      <c r="G12" s="114">
        <f>+G14</f>
        <v>255485.13916699999</v>
      </c>
      <c r="H12" s="114">
        <f t="shared" ref="H12:I12" si="0">+H14+H18</f>
        <v>17048.64</v>
      </c>
      <c r="I12" s="114">
        <f t="shared" si="0"/>
        <v>0</v>
      </c>
      <c r="J12" s="99"/>
      <c r="L12" s="99"/>
      <c r="M12" s="99"/>
      <c r="N12" s="99"/>
    </row>
    <row r="13" spans="1:14" s="102" customFormat="1" ht="14.25" customHeight="1" x14ac:dyDescent="0.3">
      <c r="A13" s="112"/>
      <c r="B13" s="113"/>
      <c r="C13" s="5"/>
      <c r="D13" s="110"/>
      <c r="E13" s="106"/>
      <c r="F13" s="100"/>
      <c r="G13" s="100"/>
      <c r="H13" s="100"/>
      <c r="I13" s="100"/>
      <c r="J13" s="99"/>
      <c r="L13" s="99"/>
      <c r="M13" s="99"/>
      <c r="N13" s="99"/>
    </row>
    <row r="14" spans="1:14" s="102" customFormat="1" ht="14.25" customHeight="1" x14ac:dyDescent="0.3">
      <c r="A14" s="112" t="s">
        <v>104</v>
      </c>
      <c r="B14" s="58" t="s">
        <v>105</v>
      </c>
      <c r="C14" s="5">
        <v>273</v>
      </c>
      <c r="D14" s="110"/>
      <c r="E14" s="115" t="s">
        <v>189</v>
      </c>
      <c r="F14" s="114">
        <f t="shared" ref="F14" si="1">SUM(G14:I14)</f>
        <v>272533.77916699997</v>
      </c>
      <c r="G14" s="115">
        <f>(+'[1]Conso.Egre.Neto AUMENTOS'!E42+'[1]Conso.Egre.Neto AUMENTOS'!E104)/1000</f>
        <v>255485.13916699999</v>
      </c>
      <c r="H14" s="115">
        <f>(+'[1]Conso.Egre.Neto AUMENTOS'!F104+'[1]Conso.Egre.Neto AUMENTOS'!F42)/1000</f>
        <v>17048.64</v>
      </c>
      <c r="I14" s="115">
        <f>+'[1]Conso.Egre.Neto AUMENTOS'!G104/1000</f>
        <v>0</v>
      </c>
      <c r="J14" s="100"/>
      <c r="L14" s="100"/>
      <c r="M14" s="99"/>
      <c r="N14" s="99"/>
    </row>
    <row r="15" spans="1:14" s="102" customFormat="1" x14ac:dyDescent="0.3">
      <c r="A15" s="116" t="s">
        <v>112</v>
      </c>
      <c r="B15" s="57" t="s">
        <v>113</v>
      </c>
      <c r="C15" s="2">
        <v>273</v>
      </c>
      <c r="D15" s="110"/>
      <c r="E15" s="99"/>
      <c r="F15" s="114"/>
      <c r="G15" s="100"/>
      <c r="H15" s="100"/>
      <c r="I15" s="100"/>
      <c r="J15" s="99"/>
      <c r="L15" s="99"/>
      <c r="M15" s="99"/>
      <c r="N15" s="99"/>
    </row>
    <row r="16" spans="1:14" s="102" customFormat="1" x14ac:dyDescent="0.3">
      <c r="A16" s="116"/>
      <c r="B16" s="57"/>
      <c r="C16" s="2"/>
      <c r="D16" s="110"/>
      <c r="E16" s="99"/>
      <c r="F16" s="114"/>
      <c r="G16" s="100"/>
      <c r="H16" s="100"/>
      <c r="I16" s="100"/>
      <c r="J16" s="99"/>
      <c r="L16" s="99"/>
      <c r="M16" s="99"/>
      <c r="N16" s="99"/>
    </row>
    <row r="17" spans="1:15" x14ac:dyDescent="0.3">
      <c r="A17" s="36"/>
      <c r="B17" s="117" t="s">
        <v>114</v>
      </c>
      <c r="C17" s="35">
        <v>273</v>
      </c>
      <c r="D17" s="110"/>
      <c r="G17" s="100"/>
      <c r="H17" s="100"/>
      <c r="I17" s="100"/>
    </row>
    <row r="18" spans="1:15" x14ac:dyDescent="0.3">
      <c r="A18" s="118"/>
      <c r="B18" s="119"/>
      <c r="C18" s="2"/>
      <c r="D18" s="110"/>
      <c r="E18" s="106" t="s">
        <v>190</v>
      </c>
      <c r="F18" s="114">
        <f t="shared" ref="F18:F19" si="2">SUM(G18:I18)</f>
        <v>16137.6</v>
      </c>
      <c r="G18" s="115">
        <f t="shared" ref="G18:I18" si="3">+G19</f>
        <v>16137.6</v>
      </c>
      <c r="H18" s="115">
        <f t="shared" si="3"/>
        <v>0</v>
      </c>
      <c r="I18" s="115">
        <f t="shared" si="3"/>
        <v>0</v>
      </c>
      <c r="J18" s="100"/>
      <c r="L18" s="100"/>
      <c r="M18" s="100"/>
      <c r="N18" s="100"/>
      <c r="O18" s="120"/>
    </row>
    <row r="19" spans="1:15" x14ac:dyDescent="0.3">
      <c r="A19" s="121" t="s">
        <v>142</v>
      </c>
      <c r="B19" s="58" t="s">
        <v>143</v>
      </c>
      <c r="C19" s="5">
        <v>27348.35744</v>
      </c>
      <c r="D19" s="110"/>
      <c r="E19" s="99" t="s">
        <v>191</v>
      </c>
      <c r="F19" s="114">
        <f t="shared" si="2"/>
        <v>16137.6</v>
      </c>
      <c r="G19" s="101">
        <f>16137600/1000</f>
        <v>16137.6</v>
      </c>
      <c r="H19" s="101">
        <v>0</v>
      </c>
      <c r="I19" s="101">
        <v>0</v>
      </c>
    </row>
    <row r="20" spans="1:15" s="101" customFormat="1" x14ac:dyDescent="0.3">
      <c r="A20" s="116" t="s">
        <v>144</v>
      </c>
      <c r="B20" s="57" t="s">
        <v>145</v>
      </c>
      <c r="C20" s="2">
        <v>27348.35744</v>
      </c>
      <c r="D20" s="122"/>
      <c r="J20" s="99"/>
      <c r="K20" s="102"/>
      <c r="L20" s="99"/>
      <c r="M20" s="99"/>
      <c r="N20" s="99"/>
    </row>
    <row r="21" spans="1:15" s="101" customFormat="1" x14ac:dyDescent="0.3">
      <c r="A21" s="116"/>
      <c r="B21" s="57"/>
      <c r="C21" s="2"/>
      <c r="D21" s="122"/>
      <c r="E21" s="106" t="s">
        <v>192</v>
      </c>
      <c r="F21" s="114">
        <f t="shared" ref="F21:F23" si="4">SUM(G21:I21)</f>
        <v>811605.069749619</v>
      </c>
      <c r="G21" s="114">
        <f t="shared" ref="G21:I22" si="5">+G22</f>
        <v>464755.842529619</v>
      </c>
      <c r="H21" s="114">
        <f t="shared" si="5"/>
        <v>264473.62432</v>
      </c>
      <c r="I21" s="114">
        <f t="shared" si="5"/>
        <v>82375.602899999896</v>
      </c>
      <c r="J21" s="100"/>
      <c r="K21" s="102"/>
      <c r="L21" s="100"/>
      <c r="M21" s="100"/>
      <c r="N21" s="100"/>
    </row>
    <row r="22" spans="1:15" s="101" customFormat="1" x14ac:dyDescent="0.3">
      <c r="A22" s="36"/>
      <c r="B22" s="117" t="s">
        <v>148</v>
      </c>
      <c r="C22" s="35">
        <f>+C19</f>
        <v>27348.35744</v>
      </c>
      <c r="D22" s="122"/>
      <c r="E22" s="99" t="s">
        <v>193</v>
      </c>
      <c r="F22" s="114">
        <f t="shared" si="4"/>
        <v>811605.069749619</v>
      </c>
      <c r="G22" s="100">
        <f t="shared" si="5"/>
        <v>464755.842529619</v>
      </c>
      <c r="H22" s="100">
        <f t="shared" si="5"/>
        <v>264473.62432</v>
      </c>
      <c r="I22" s="100">
        <f t="shared" si="5"/>
        <v>82375.602899999896</v>
      </c>
      <c r="J22" s="100"/>
      <c r="K22" s="102"/>
      <c r="L22" s="100"/>
      <c r="M22" s="100"/>
      <c r="N22" s="100"/>
    </row>
    <row r="23" spans="1:15" s="101" customFormat="1" x14ac:dyDescent="0.3">
      <c r="A23" s="1"/>
      <c r="B23" s="45"/>
      <c r="C23" s="5"/>
      <c r="D23" s="122"/>
      <c r="E23" s="99" t="s">
        <v>194</v>
      </c>
      <c r="F23" s="114">
        <f t="shared" si="4"/>
        <v>811605.069749619</v>
      </c>
      <c r="G23" s="100">
        <f>464755842.529619/1000</f>
        <v>464755.842529619</v>
      </c>
      <c r="H23" s="100">
        <f>264473624.32/1000</f>
        <v>264473.62432</v>
      </c>
      <c r="I23" s="100">
        <f>82375602.8999999/1000</f>
        <v>82375.602899999896</v>
      </c>
      <c r="J23" s="99"/>
      <c r="K23" s="102"/>
      <c r="L23" s="99"/>
      <c r="M23" s="99"/>
      <c r="N23" s="99"/>
    </row>
    <row r="24" spans="1:15" x14ac:dyDescent="0.3">
      <c r="A24" s="45" t="s">
        <v>162</v>
      </c>
      <c r="B24" s="45" t="s">
        <v>163</v>
      </c>
      <c r="C24" s="5">
        <v>1735362.7784496194</v>
      </c>
      <c r="D24" s="110"/>
      <c r="G24" s="100"/>
      <c r="I24" s="100"/>
    </row>
    <row r="25" spans="1:15" x14ac:dyDescent="0.3">
      <c r="A25" s="112" t="s">
        <v>164</v>
      </c>
      <c r="B25" s="58" t="s">
        <v>165</v>
      </c>
      <c r="C25" s="5">
        <v>1735362.7784496194</v>
      </c>
      <c r="D25" s="110"/>
      <c r="E25" s="106" t="s">
        <v>195</v>
      </c>
      <c r="F25" s="114">
        <f t="shared" ref="F25:F26" si="6">SUM(G25:I25)</f>
        <v>662707.68697000004</v>
      </c>
      <c r="G25" s="114">
        <f>+G26</f>
        <v>415236.02041</v>
      </c>
      <c r="H25" s="114">
        <f t="shared" ref="H25:I25" si="7">+H26</f>
        <v>0</v>
      </c>
      <c r="I25" s="114">
        <f t="shared" si="7"/>
        <v>247471.66656000001</v>
      </c>
    </row>
    <row r="26" spans="1:15" x14ac:dyDescent="0.3">
      <c r="A26" s="118" t="s">
        <v>168</v>
      </c>
      <c r="B26" s="123" t="s">
        <v>169</v>
      </c>
      <c r="C26" s="2">
        <v>1227954.7272296194</v>
      </c>
      <c r="D26" s="110"/>
      <c r="E26" s="99" t="s">
        <v>196</v>
      </c>
      <c r="F26" s="114">
        <f t="shared" si="6"/>
        <v>662707.68697000004</v>
      </c>
      <c r="G26" s="100">
        <f>415236020.41/1000</f>
        <v>415236.02041</v>
      </c>
      <c r="H26" s="101">
        <v>0</v>
      </c>
      <c r="I26" s="100">
        <f>247471666.56/1000</f>
        <v>247471.66656000001</v>
      </c>
    </row>
    <row r="27" spans="1:15" x14ac:dyDescent="0.3">
      <c r="A27" s="116" t="s">
        <v>170</v>
      </c>
      <c r="B27" s="57" t="s">
        <v>171</v>
      </c>
      <c r="C27" s="2">
        <v>507408.05122000002</v>
      </c>
      <c r="D27" s="110"/>
      <c r="G27" s="100"/>
      <c r="I27" s="100"/>
    </row>
    <row r="28" spans="1:15" x14ac:dyDescent="0.3">
      <c r="A28" s="116"/>
      <c r="B28" s="57"/>
      <c r="C28" s="5"/>
      <c r="D28" s="110"/>
      <c r="G28" s="100"/>
      <c r="I28" s="100"/>
    </row>
    <row r="29" spans="1:15" x14ac:dyDescent="0.3">
      <c r="A29" s="36"/>
      <c r="B29" s="117" t="s">
        <v>172</v>
      </c>
      <c r="C29" s="35">
        <v>1735362.7784496194</v>
      </c>
      <c r="D29" s="110"/>
      <c r="G29" s="100"/>
      <c r="I29" s="100"/>
    </row>
    <row r="30" spans="1:15" x14ac:dyDescent="0.3">
      <c r="A30" s="124" t="s">
        <v>174</v>
      </c>
      <c r="B30" s="125"/>
      <c r="C30" s="125">
        <v>1762984.1358896194</v>
      </c>
      <c r="D30" s="110"/>
      <c r="E30" s="124" t="s">
        <v>197</v>
      </c>
      <c r="F30" s="125">
        <f>+F10+F21+F25</f>
        <v>1762984.1358866189</v>
      </c>
      <c r="G30" s="125">
        <f t="shared" ref="G30:I30" si="8">+G10+G21+G25</f>
        <v>1151614.6021066192</v>
      </c>
      <c r="H30" s="125">
        <f t="shared" si="8"/>
        <v>281522.26432000002</v>
      </c>
      <c r="I30" s="125">
        <f t="shared" si="8"/>
        <v>329847.26945999992</v>
      </c>
    </row>
    <row r="31" spans="1:15" x14ac:dyDescent="0.3">
      <c r="D31" s="99"/>
      <c r="G31" s="100"/>
      <c r="I31" s="100"/>
    </row>
    <row r="32" spans="1:15" x14ac:dyDescent="0.3">
      <c r="D32" s="99"/>
      <c r="G32" s="100">
        <f>+'[1]Conso.Egre.Neto AUMENTOS'!E223</f>
        <v>1151614602.1066194</v>
      </c>
      <c r="H32" s="101">
        <f>+'[1]Conso.Egre.Neto AUMENTOS'!F223</f>
        <v>281522264.32000005</v>
      </c>
      <c r="I32" s="100">
        <f>+'[1]Conso.Egre.Neto AUMENTOS'!G223</f>
        <v>329847269.45999968</v>
      </c>
    </row>
    <row r="33" spans="4:7" x14ac:dyDescent="0.3">
      <c r="D33" s="99"/>
    </row>
    <row r="34" spans="4:7" x14ac:dyDescent="0.3">
      <c r="D34" s="99"/>
    </row>
    <row r="35" spans="4:7" x14ac:dyDescent="0.3">
      <c r="D35" s="99"/>
      <c r="G35" s="100"/>
    </row>
    <row r="36" spans="4:7" x14ac:dyDescent="0.3">
      <c r="D36" s="99"/>
    </row>
    <row r="37" spans="4:7" x14ac:dyDescent="0.3">
      <c r="D37" s="99"/>
    </row>
    <row r="38" spans="4:7" x14ac:dyDescent="0.3">
      <c r="D38" s="99"/>
    </row>
    <row r="39" spans="4:7" x14ac:dyDescent="0.3">
      <c r="D39" s="99"/>
    </row>
    <row r="40" spans="4:7" x14ac:dyDescent="0.3">
      <c r="D40" s="99"/>
    </row>
    <row r="41" spans="4:7" x14ac:dyDescent="0.3">
      <c r="D41" s="99"/>
    </row>
    <row r="42" spans="4:7" x14ac:dyDescent="0.3">
      <c r="D42" s="99"/>
    </row>
    <row r="43" spans="4:7" x14ac:dyDescent="0.3">
      <c r="D43" s="99"/>
    </row>
    <row r="44" spans="4:7" x14ac:dyDescent="0.3">
      <c r="D44" s="99"/>
    </row>
    <row r="45" spans="4:7" x14ac:dyDescent="0.3">
      <c r="D45" s="99"/>
    </row>
    <row r="46" spans="4:7" x14ac:dyDescent="0.3">
      <c r="D46" s="99"/>
    </row>
    <row r="47" spans="4:7" x14ac:dyDescent="0.3">
      <c r="D47" s="99"/>
    </row>
    <row r="48" spans="4:7" x14ac:dyDescent="0.3">
      <c r="D48" s="99"/>
    </row>
    <row r="49" spans="4:4" x14ac:dyDescent="0.3">
      <c r="D49" s="99"/>
    </row>
    <row r="50" spans="4:4" x14ac:dyDescent="0.3">
      <c r="D50" s="99"/>
    </row>
    <row r="51" spans="4:4" x14ac:dyDescent="0.3">
      <c r="D51" s="99"/>
    </row>
    <row r="52" spans="4:4" x14ac:dyDescent="0.3">
      <c r="D52" s="99"/>
    </row>
    <row r="53" spans="4:4" x14ac:dyDescent="0.3">
      <c r="D53" s="99"/>
    </row>
    <row r="54" spans="4:4" x14ac:dyDescent="0.3">
      <c r="D54" s="99"/>
    </row>
    <row r="55" spans="4:4" x14ac:dyDescent="0.3">
      <c r="D55" s="99"/>
    </row>
    <row r="56" spans="4:4" x14ac:dyDescent="0.3">
      <c r="D56" s="99"/>
    </row>
    <row r="57" spans="4:4" x14ac:dyDescent="0.3">
      <c r="D57" s="99"/>
    </row>
    <row r="58" spans="4:4" x14ac:dyDescent="0.3">
      <c r="D58" s="99"/>
    </row>
    <row r="59" spans="4:4" x14ac:dyDescent="0.3">
      <c r="D59" s="99"/>
    </row>
    <row r="60" spans="4:4" x14ac:dyDescent="0.3">
      <c r="D60" s="99"/>
    </row>
    <row r="61" spans="4:4" x14ac:dyDescent="0.3">
      <c r="D61" s="99"/>
    </row>
    <row r="62" spans="4:4" x14ac:dyDescent="0.3">
      <c r="D62" s="99"/>
    </row>
    <row r="63" spans="4:4" x14ac:dyDescent="0.3">
      <c r="D63" s="99"/>
    </row>
    <row r="64" spans="4:4" x14ac:dyDescent="0.3">
      <c r="D64" s="99"/>
    </row>
    <row r="65" spans="4:4" x14ac:dyDescent="0.3">
      <c r="D65" s="99"/>
    </row>
    <row r="66" spans="4:4" x14ac:dyDescent="0.3">
      <c r="D66" s="99"/>
    </row>
    <row r="67" spans="4:4" x14ac:dyDescent="0.3">
      <c r="D67" s="99"/>
    </row>
    <row r="68" spans="4:4" x14ac:dyDescent="0.3">
      <c r="D68" s="99"/>
    </row>
    <row r="69" spans="4:4" x14ac:dyDescent="0.3">
      <c r="D69" s="99"/>
    </row>
    <row r="70" spans="4:4" x14ac:dyDescent="0.3">
      <c r="D70" s="99"/>
    </row>
    <row r="71" spans="4:4" x14ac:dyDescent="0.3">
      <c r="D71" s="99"/>
    </row>
    <row r="72" spans="4:4" x14ac:dyDescent="0.3">
      <c r="D72" s="99"/>
    </row>
    <row r="73" spans="4:4" x14ac:dyDescent="0.3">
      <c r="D73" s="99"/>
    </row>
    <row r="74" spans="4:4" x14ac:dyDescent="0.3">
      <c r="D74" s="99"/>
    </row>
    <row r="75" spans="4:4" x14ac:dyDescent="0.3">
      <c r="D75" s="99"/>
    </row>
    <row r="76" spans="4:4" x14ac:dyDescent="0.3">
      <c r="D76" s="99"/>
    </row>
    <row r="77" spans="4:4" x14ac:dyDescent="0.3">
      <c r="D77" s="99"/>
    </row>
    <row r="78" spans="4:4" x14ac:dyDescent="0.3">
      <c r="D78" s="99"/>
    </row>
    <row r="79" spans="4:4" x14ac:dyDescent="0.3">
      <c r="D79" s="99"/>
    </row>
    <row r="80" spans="4:4" x14ac:dyDescent="0.3">
      <c r="D80" s="99"/>
    </row>
    <row r="81" spans="4:4" x14ac:dyDescent="0.3">
      <c r="D81" s="99"/>
    </row>
    <row r="82" spans="4:4" x14ac:dyDescent="0.3">
      <c r="D82" s="99"/>
    </row>
    <row r="83" spans="4:4" x14ac:dyDescent="0.3">
      <c r="D83" s="99"/>
    </row>
    <row r="84" spans="4:4" x14ac:dyDescent="0.3">
      <c r="D84" s="99"/>
    </row>
    <row r="85" spans="4:4" x14ac:dyDescent="0.3">
      <c r="D85" s="99"/>
    </row>
    <row r="86" spans="4:4" x14ac:dyDescent="0.3">
      <c r="D86" s="99"/>
    </row>
    <row r="87" spans="4:4" x14ac:dyDescent="0.3">
      <c r="D87" s="99"/>
    </row>
    <row r="88" spans="4:4" x14ac:dyDescent="0.3">
      <c r="D88" s="99"/>
    </row>
    <row r="89" spans="4:4" x14ac:dyDescent="0.3">
      <c r="D89" s="99"/>
    </row>
    <row r="90" spans="4:4" x14ac:dyDescent="0.3">
      <c r="D90" s="99"/>
    </row>
    <row r="91" spans="4:4" x14ac:dyDescent="0.3">
      <c r="D91" s="99"/>
    </row>
    <row r="92" spans="4:4" x14ac:dyDescent="0.3">
      <c r="D92" s="99"/>
    </row>
    <row r="93" spans="4:4" x14ac:dyDescent="0.3">
      <c r="D93" s="99"/>
    </row>
    <row r="94" spans="4:4" x14ac:dyDescent="0.3">
      <c r="D94" s="99"/>
    </row>
    <row r="95" spans="4:4" x14ac:dyDescent="0.3">
      <c r="D95" s="99"/>
    </row>
    <row r="96" spans="4:4" x14ac:dyDescent="0.3">
      <c r="D96" s="99"/>
    </row>
    <row r="97" spans="4:4" x14ac:dyDescent="0.3">
      <c r="D97" s="99"/>
    </row>
    <row r="98" spans="4:4" x14ac:dyDescent="0.3">
      <c r="D98" s="99"/>
    </row>
    <row r="99" spans="4:4" x14ac:dyDescent="0.3">
      <c r="D99" s="99"/>
    </row>
    <row r="100" spans="4:4" x14ac:dyDescent="0.3">
      <c r="D100" s="99"/>
    </row>
    <row r="101" spans="4:4" x14ac:dyDescent="0.3">
      <c r="D101" s="99"/>
    </row>
    <row r="102" spans="4:4" x14ac:dyDescent="0.3">
      <c r="D102" s="99"/>
    </row>
    <row r="103" spans="4:4" x14ac:dyDescent="0.3">
      <c r="D103" s="99"/>
    </row>
    <row r="104" spans="4:4" x14ac:dyDescent="0.3">
      <c r="D104" s="99"/>
    </row>
    <row r="105" spans="4:4" x14ac:dyDescent="0.3">
      <c r="D105" s="99"/>
    </row>
    <row r="106" spans="4:4" x14ac:dyDescent="0.3">
      <c r="D106" s="99"/>
    </row>
    <row r="107" spans="4:4" x14ac:dyDescent="0.3">
      <c r="D107" s="99"/>
    </row>
    <row r="108" spans="4:4" x14ac:dyDescent="0.3">
      <c r="D108" s="99"/>
    </row>
    <row r="109" spans="4:4" x14ac:dyDescent="0.3">
      <c r="D109" s="99"/>
    </row>
    <row r="110" spans="4:4" x14ac:dyDescent="0.3">
      <c r="D110" s="99"/>
    </row>
    <row r="111" spans="4:4" x14ac:dyDescent="0.3">
      <c r="D111" s="99"/>
    </row>
    <row r="112" spans="4:4" x14ac:dyDescent="0.3">
      <c r="D112" s="99"/>
    </row>
    <row r="113" spans="4:4" x14ac:dyDescent="0.3">
      <c r="D113" s="99"/>
    </row>
    <row r="114" spans="4:4" x14ac:dyDescent="0.3">
      <c r="D114" s="99"/>
    </row>
    <row r="115" spans="4:4" x14ac:dyDescent="0.3">
      <c r="D115" s="99"/>
    </row>
    <row r="116" spans="4:4" x14ac:dyDescent="0.3">
      <c r="D116" s="99"/>
    </row>
    <row r="117" spans="4:4" x14ac:dyDescent="0.3">
      <c r="D117" s="99"/>
    </row>
    <row r="118" spans="4:4" x14ac:dyDescent="0.3">
      <c r="D118" s="99"/>
    </row>
    <row r="119" spans="4:4" x14ac:dyDescent="0.3">
      <c r="D119" s="99"/>
    </row>
    <row r="120" spans="4:4" x14ac:dyDescent="0.3">
      <c r="D120" s="99"/>
    </row>
    <row r="121" spans="4:4" x14ac:dyDescent="0.3">
      <c r="D121" s="99"/>
    </row>
    <row r="122" spans="4:4" x14ac:dyDescent="0.3">
      <c r="D122" s="99"/>
    </row>
    <row r="123" spans="4:4" x14ac:dyDescent="0.3">
      <c r="D123" s="99"/>
    </row>
    <row r="124" spans="4:4" x14ac:dyDescent="0.3">
      <c r="D124" s="99"/>
    </row>
    <row r="125" spans="4:4" x14ac:dyDescent="0.3">
      <c r="D125" s="99"/>
    </row>
    <row r="126" spans="4:4" x14ac:dyDescent="0.3">
      <c r="D126" s="99"/>
    </row>
    <row r="127" spans="4:4" x14ac:dyDescent="0.3">
      <c r="D127" s="99"/>
    </row>
    <row r="128" spans="4:4" x14ac:dyDescent="0.3">
      <c r="D128" s="99"/>
    </row>
    <row r="129" spans="4:4" x14ac:dyDescent="0.3">
      <c r="D129" s="99"/>
    </row>
    <row r="130" spans="4:4" x14ac:dyDescent="0.3">
      <c r="D130" s="99"/>
    </row>
    <row r="131" spans="4:4" x14ac:dyDescent="0.3">
      <c r="D131" s="99"/>
    </row>
    <row r="132" spans="4:4" x14ac:dyDescent="0.3">
      <c r="D132" s="99"/>
    </row>
    <row r="133" spans="4:4" x14ac:dyDescent="0.3">
      <c r="D133" s="99"/>
    </row>
    <row r="134" spans="4:4" x14ac:dyDescent="0.3">
      <c r="D134" s="99"/>
    </row>
    <row r="135" spans="4:4" x14ac:dyDescent="0.3">
      <c r="D135" s="99"/>
    </row>
    <row r="136" spans="4:4" x14ac:dyDescent="0.3">
      <c r="D136" s="99"/>
    </row>
    <row r="137" spans="4:4" x14ac:dyDescent="0.3">
      <c r="D137" s="99"/>
    </row>
    <row r="138" spans="4:4" x14ac:dyDescent="0.3">
      <c r="D138" s="99"/>
    </row>
    <row r="139" spans="4:4" x14ac:dyDescent="0.3">
      <c r="D139" s="99"/>
    </row>
    <row r="140" spans="4:4" x14ac:dyDescent="0.3">
      <c r="D140" s="99"/>
    </row>
    <row r="141" spans="4:4" x14ac:dyDescent="0.3">
      <c r="D141" s="99"/>
    </row>
    <row r="142" spans="4:4" x14ac:dyDescent="0.3">
      <c r="D142" s="99"/>
    </row>
    <row r="143" spans="4:4" x14ac:dyDescent="0.3">
      <c r="D143" s="99"/>
    </row>
    <row r="144" spans="4:4" x14ac:dyDescent="0.3">
      <c r="D144" s="99"/>
    </row>
    <row r="145" spans="4:4" x14ac:dyDescent="0.3">
      <c r="D145" s="99"/>
    </row>
    <row r="146" spans="4:4" x14ac:dyDescent="0.3">
      <c r="D146" s="99"/>
    </row>
    <row r="147" spans="4:4" x14ac:dyDescent="0.3">
      <c r="D147" s="99"/>
    </row>
    <row r="148" spans="4:4" x14ac:dyDescent="0.3">
      <c r="D148" s="99"/>
    </row>
    <row r="149" spans="4:4" x14ac:dyDescent="0.3">
      <c r="D149" s="99"/>
    </row>
    <row r="150" spans="4:4" x14ac:dyDescent="0.3">
      <c r="D150" s="99"/>
    </row>
    <row r="151" spans="4:4" x14ac:dyDescent="0.3">
      <c r="D151" s="99"/>
    </row>
    <row r="152" spans="4:4" x14ac:dyDescent="0.3">
      <c r="D152" s="99"/>
    </row>
    <row r="153" spans="4:4" x14ac:dyDescent="0.3">
      <c r="D153" s="99"/>
    </row>
    <row r="154" spans="4:4" x14ac:dyDescent="0.3">
      <c r="D154" s="99"/>
    </row>
    <row r="155" spans="4:4" x14ac:dyDescent="0.3">
      <c r="D155" s="99"/>
    </row>
    <row r="156" spans="4:4" x14ac:dyDescent="0.3">
      <c r="D156" s="99"/>
    </row>
    <row r="157" spans="4:4" x14ac:dyDescent="0.3">
      <c r="D157" s="99"/>
    </row>
    <row r="158" spans="4:4" x14ac:dyDescent="0.3">
      <c r="D158" s="99"/>
    </row>
    <row r="159" spans="4:4" x14ac:dyDescent="0.3">
      <c r="D159" s="99"/>
    </row>
    <row r="160" spans="4:4" x14ac:dyDescent="0.3">
      <c r="D160" s="99"/>
    </row>
    <row r="161" spans="4:4" x14ac:dyDescent="0.3">
      <c r="D161" s="99"/>
    </row>
    <row r="162" spans="4:4" x14ac:dyDescent="0.3">
      <c r="D162" s="99"/>
    </row>
    <row r="163" spans="4:4" x14ac:dyDescent="0.3">
      <c r="D163" s="99"/>
    </row>
    <row r="164" spans="4:4" x14ac:dyDescent="0.3">
      <c r="D164" s="99"/>
    </row>
    <row r="165" spans="4:4" x14ac:dyDescent="0.3">
      <c r="D165" s="99"/>
    </row>
    <row r="166" spans="4:4" x14ac:dyDescent="0.3">
      <c r="D166" s="99"/>
    </row>
    <row r="167" spans="4:4" x14ac:dyDescent="0.3">
      <c r="D167" s="99"/>
    </row>
    <row r="168" spans="4:4" x14ac:dyDescent="0.3">
      <c r="D168" s="99"/>
    </row>
    <row r="169" spans="4:4" x14ac:dyDescent="0.3">
      <c r="D169" s="99"/>
    </row>
    <row r="170" spans="4:4" x14ac:dyDescent="0.3">
      <c r="D170" s="99"/>
    </row>
    <row r="171" spans="4:4" x14ac:dyDescent="0.3">
      <c r="D171" s="99"/>
    </row>
    <row r="172" spans="4:4" x14ac:dyDescent="0.3">
      <c r="D172" s="99"/>
    </row>
    <row r="173" spans="4:4" x14ac:dyDescent="0.3">
      <c r="D173" s="99"/>
    </row>
  </sheetData>
  <mergeCells count="3">
    <mergeCell ref="B4:I4"/>
    <mergeCell ref="E7:G7"/>
    <mergeCell ref="A8:B8"/>
  </mergeCells>
  <printOptions horizontalCentered="1" verticalCentered="1"/>
  <pageMargins left="0.5" right="0.5" top="0.5" bottom="0.5" header="0" footer="0"/>
  <pageSetup orientation="portrait" horizontalDpi="360" verticalDpi="36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3302DF-C49B-4213-8CF9-A4D34F5DAA4E}">
  <sheetPr>
    <tabColor rgb="FFFF0000"/>
  </sheetPr>
  <dimension ref="A1:H25"/>
  <sheetViews>
    <sheetView showGridLines="0" workbookViewId="0">
      <selection activeCell="A5" sqref="A5"/>
    </sheetView>
  </sheetViews>
  <sheetFormatPr baseColWidth="10" defaultRowHeight="13.2" x14ac:dyDescent="0.25"/>
  <cols>
    <col min="1" max="1" width="30.77734375" bestFit="1" customWidth="1"/>
    <col min="2" max="2" width="16.109375" bestFit="1" customWidth="1"/>
    <col min="3" max="3" width="15.44140625" bestFit="1" customWidth="1"/>
    <col min="4" max="4" width="15.5546875" customWidth="1"/>
    <col min="5" max="5" width="17.5546875" customWidth="1"/>
  </cols>
  <sheetData>
    <row r="1" spans="1:8" ht="13.8" x14ac:dyDescent="0.3">
      <c r="A1" s="248" t="s">
        <v>0</v>
      </c>
      <c r="B1" s="248"/>
      <c r="C1" s="248"/>
      <c r="D1" s="248"/>
      <c r="E1" s="248"/>
      <c r="F1" s="105"/>
      <c r="G1" s="105"/>
      <c r="H1" s="105"/>
    </row>
    <row r="2" spans="1:8" ht="13.8" x14ac:dyDescent="0.3">
      <c r="A2" s="248" t="s">
        <v>178</v>
      </c>
      <c r="B2" s="248"/>
      <c r="C2" s="248"/>
      <c r="D2" s="248"/>
      <c r="E2" s="248"/>
      <c r="F2" s="105"/>
      <c r="G2" s="105"/>
      <c r="H2" s="105"/>
    </row>
    <row r="3" spans="1:8" ht="13.8" x14ac:dyDescent="0.3">
      <c r="A3" s="248" t="s">
        <v>198</v>
      </c>
      <c r="B3" s="248"/>
      <c r="C3" s="248"/>
      <c r="D3" s="248"/>
      <c r="E3" s="248"/>
      <c r="F3" s="106"/>
      <c r="G3" s="106"/>
      <c r="H3" s="106"/>
    </row>
    <row r="4" spans="1:8" ht="13.8" x14ac:dyDescent="0.3">
      <c r="A4" s="250" t="s">
        <v>180</v>
      </c>
      <c r="B4" s="250"/>
      <c r="C4" s="250"/>
      <c r="D4" s="250"/>
      <c r="E4" s="250"/>
      <c r="F4" s="105"/>
      <c r="G4" s="105"/>
      <c r="H4" s="105"/>
    </row>
    <row r="5" spans="1:8" ht="27.6" x14ac:dyDescent="0.25">
      <c r="A5" s="108" t="s">
        <v>182</v>
      </c>
      <c r="B5" s="109" t="s">
        <v>183</v>
      </c>
      <c r="C5" s="109" t="s">
        <v>184</v>
      </c>
      <c r="D5" s="109" t="s">
        <v>185</v>
      </c>
      <c r="E5" s="109" t="s">
        <v>186</v>
      </c>
    </row>
    <row r="6" spans="1:8" ht="13.8" x14ac:dyDescent="0.3">
      <c r="A6" s="106"/>
      <c r="B6" s="100"/>
      <c r="C6" s="100"/>
      <c r="D6" s="111"/>
      <c r="E6" s="100"/>
    </row>
    <row r="7" spans="1:8" ht="13.8" x14ac:dyDescent="0.3">
      <c r="A7" s="106" t="s">
        <v>187</v>
      </c>
      <c r="B7" s="114">
        <v>288671.37916699995</v>
      </c>
      <c r="C7" s="114">
        <v>271622.73916699999</v>
      </c>
      <c r="D7" s="114">
        <v>17048.64</v>
      </c>
      <c r="E7" s="114">
        <v>0</v>
      </c>
    </row>
    <row r="8" spans="1:8" ht="13.8" x14ac:dyDescent="0.3">
      <c r="A8" s="106"/>
      <c r="B8" s="100"/>
      <c r="C8" s="100"/>
      <c r="D8" s="100"/>
      <c r="E8" s="100"/>
    </row>
    <row r="9" spans="1:8" ht="13.8" x14ac:dyDescent="0.3">
      <c r="A9" s="106" t="s">
        <v>188</v>
      </c>
      <c r="B9" s="114">
        <v>272533.77916699997</v>
      </c>
      <c r="C9" s="114">
        <v>255485.13916699999</v>
      </c>
      <c r="D9" s="114">
        <v>17048.64</v>
      </c>
      <c r="E9" s="114">
        <v>0</v>
      </c>
    </row>
    <row r="10" spans="1:8" ht="13.8" x14ac:dyDescent="0.3">
      <c r="A10" s="106"/>
      <c r="B10" s="100"/>
      <c r="C10" s="100"/>
      <c r="D10" s="100"/>
      <c r="E10" s="100"/>
    </row>
    <row r="11" spans="1:8" ht="13.8" x14ac:dyDescent="0.3">
      <c r="A11" s="115" t="s">
        <v>189</v>
      </c>
      <c r="B11" s="114">
        <v>272533.77916699997</v>
      </c>
      <c r="C11" s="115">
        <v>255485.13916699999</v>
      </c>
      <c r="D11" s="115">
        <v>17048.64</v>
      </c>
      <c r="E11" s="115">
        <v>0</v>
      </c>
    </row>
    <row r="12" spans="1:8" ht="13.8" x14ac:dyDescent="0.3">
      <c r="A12" s="99"/>
      <c r="B12" s="114"/>
      <c r="C12" s="100"/>
      <c r="D12" s="100"/>
      <c r="E12" s="100"/>
    </row>
    <row r="13" spans="1:8" ht="13.8" x14ac:dyDescent="0.3">
      <c r="A13" s="106"/>
      <c r="B13" s="114"/>
      <c r="C13" s="115"/>
      <c r="D13" s="115"/>
      <c r="E13" s="115"/>
    </row>
    <row r="14" spans="1:8" s="127" customFormat="1" ht="13.8" x14ac:dyDescent="0.3">
      <c r="A14" s="99"/>
      <c r="B14" s="114"/>
      <c r="C14" s="101"/>
      <c r="D14" s="101"/>
      <c r="E14" s="101"/>
    </row>
    <row r="15" spans="1:8" s="128" customFormat="1" ht="13.8" x14ac:dyDescent="0.3">
      <c r="A15" s="101" t="s">
        <v>190</v>
      </c>
      <c r="B15" s="101">
        <v>16137.6</v>
      </c>
      <c r="C15" s="101">
        <v>16137.6</v>
      </c>
      <c r="D15" s="101">
        <v>0</v>
      </c>
      <c r="E15" s="101">
        <v>0</v>
      </c>
    </row>
    <row r="16" spans="1:8" ht="13.8" x14ac:dyDescent="0.3">
      <c r="A16" s="106" t="s">
        <v>191</v>
      </c>
      <c r="B16" s="114">
        <v>16137.6</v>
      </c>
      <c r="C16" s="114">
        <v>16137.6</v>
      </c>
      <c r="D16" s="114">
        <v>0</v>
      </c>
      <c r="E16" s="114">
        <v>0</v>
      </c>
    </row>
    <row r="17" spans="1:5" ht="13.8" x14ac:dyDescent="0.3">
      <c r="A17" s="99"/>
      <c r="B17" s="114"/>
      <c r="C17" s="100"/>
      <c r="D17" s="100"/>
      <c r="E17" s="100"/>
    </row>
    <row r="18" spans="1:5" ht="13.8" x14ac:dyDescent="0.3">
      <c r="A18" s="99" t="s">
        <v>192</v>
      </c>
      <c r="B18" s="114">
        <v>811605.069749619</v>
      </c>
      <c r="C18" s="100">
        <v>464755.842529619</v>
      </c>
      <c r="D18" s="100">
        <v>264473.62432</v>
      </c>
      <c r="E18" s="100">
        <v>82375.602899999896</v>
      </c>
    </row>
    <row r="19" spans="1:5" ht="13.8" x14ac:dyDescent="0.3">
      <c r="A19" s="99" t="s">
        <v>193</v>
      </c>
      <c r="B19" s="100">
        <v>811605.069749619</v>
      </c>
      <c r="C19" s="100">
        <v>464755.842529619</v>
      </c>
      <c r="D19" s="101">
        <v>264473.62432</v>
      </c>
      <c r="E19" s="100">
        <v>82375.602899999896</v>
      </c>
    </row>
    <row r="20" spans="1:5" ht="13.8" x14ac:dyDescent="0.3">
      <c r="A20" s="106" t="s">
        <v>194</v>
      </c>
      <c r="B20" s="114">
        <v>811605.069749619</v>
      </c>
      <c r="C20" s="114">
        <v>464755.842529619</v>
      </c>
      <c r="D20" s="114">
        <v>264473.62432</v>
      </c>
      <c r="E20" s="114">
        <v>82375.602899999896</v>
      </c>
    </row>
    <row r="21" spans="1:5" ht="13.8" x14ac:dyDescent="0.3">
      <c r="A21" s="99"/>
      <c r="B21" s="114"/>
      <c r="C21" s="100"/>
      <c r="D21" s="101"/>
      <c r="E21" s="100"/>
    </row>
    <row r="22" spans="1:5" ht="13.8" x14ac:dyDescent="0.3">
      <c r="A22" s="99" t="s">
        <v>195</v>
      </c>
      <c r="B22" s="100">
        <v>662707.68697000004</v>
      </c>
      <c r="C22" s="100">
        <v>415236.02041</v>
      </c>
      <c r="D22" s="101">
        <v>0</v>
      </c>
      <c r="E22" s="100">
        <v>247471.66656000001</v>
      </c>
    </row>
    <row r="23" spans="1:5" ht="13.8" x14ac:dyDescent="0.3">
      <c r="A23" s="99" t="s">
        <v>196</v>
      </c>
      <c r="B23" s="100">
        <v>662707.68697000004</v>
      </c>
      <c r="C23" s="100">
        <v>415236.02041</v>
      </c>
      <c r="D23" s="101">
        <v>0</v>
      </c>
      <c r="E23" s="100">
        <v>247471.66656000001</v>
      </c>
    </row>
    <row r="24" spans="1:5" ht="13.8" x14ac:dyDescent="0.3">
      <c r="A24" s="99"/>
      <c r="B24" s="100"/>
      <c r="C24" s="100"/>
      <c r="D24" s="101"/>
      <c r="E24" s="100"/>
    </row>
    <row r="25" spans="1:5" ht="13.8" x14ac:dyDescent="0.3">
      <c r="A25" s="124" t="s">
        <v>197</v>
      </c>
      <c r="B25" s="125">
        <v>1762984.1358866189</v>
      </c>
      <c r="C25" s="125">
        <v>1151614.6021066192</v>
      </c>
      <c r="D25" s="125">
        <v>281522.26432000002</v>
      </c>
      <c r="E25" s="125">
        <v>329847.26945999992</v>
      </c>
    </row>
  </sheetData>
  <mergeCells count="4">
    <mergeCell ref="A1:E1"/>
    <mergeCell ref="A2:E2"/>
    <mergeCell ref="A3:E3"/>
    <mergeCell ref="A4:E4"/>
  </mergeCells>
  <pageMargins left="0.7" right="0.7" top="0.75" bottom="0.75" header="0.3" footer="0.3"/>
  <pageSetup orientation="portrait" horizontalDpi="300"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4E1A48-DE7C-4A99-95E4-76C917B3EEB8}">
  <dimension ref="A1:K37"/>
  <sheetViews>
    <sheetView topLeftCell="D21" workbookViewId="0">
      <selection activeCell="K37" sqref="C33:K37"/>
    </sheetView>
  </sheetViews>
  <sheetFormatPr baseColWidth="10" defaultRowHeight="13.2" x14ac:dyDescent="0.25"/>
  <cols>
    <col min="1" max="1" width="24.77734375" bestFit="1" customWidth="1"/>
    <col min="2" max="2" width="25.77734375" bestFit="1" customWidth="1"/>
    <col min="3" max="3" width="12.88671875" customWidth="1"/>
    <col min="4" max="4" width="13.33203125" customWidth="1"/>
    <col min="9" max="9" width="12.88671875" customWidth="1"/>
    <col min="10" max="10" width="14" customWidth="1"/>
  </cols>
  <sheetData>
    <row r="1" spans="1:4" ht="26.4" x14ac:dyDescent="0.25">
      <c r="A1" s="181" t="s">
        <v>231</v>
      </c>
      <c r="B1" s="181" t="s">
        <v>232</v>
      </c>
      <c r="C1" s="183" t="s">
        <v>233</v>
      </c>
      <c r="D1" s="186" t="s">
        <v>235</v>
      </c>
    </row>
    <row r="2" spans="1:4" x14ac:dyDescent="0.25">
      <c r="A2" s="187" t="s">
        <v>244</v>
      </c>
      <c r="B2" s="187" t="s">
        <v>245</v>
      </c>
      <c r="C2" s="188">
        <v>110184.84</v>
      </c>
      <c r="D2" s="188">
        <v>111825.2</v>
      </c>
    </row>
    <row r="3" spans="1:4" x14ac:dyDescent="0.25">
      <c r="A3" s="187" t="s">
        <v>266</v>
      </c>
      <c r="B3" s="187" t="s">
        <v>267</v>
      </c>
      <c r="C3" s="188">
        <v>4550.95</v>
      </c>
      <c r="D3" s="188">
        <v>6869.4</v>
      </c>
    </row>
    <row r="4" spans="1:4" x14ac:dyDescent="0.25">
      <c r="A4" s="184"/>
      <c r="B4" s="184" t="s">
        <v>290</v>
      </c>
      <c r="C4" s="185">
        <v>114735.79</v>
      </c>
      <c r="D4" s="185">
        <v>118694.7</v>
      </c>
    </row>
    <row r="5" spans="1:4" x14ac:dyDescent="0.25">
      <c r="A5" s="187" t="s">
        <v>309</v>
      </c>
      <c r="B5" s="187" t="s">
        <v>292</v>
      </c>
      <c r="C5" s="188">
        <v>4195.93</v>
      </c>
      <c r="D5" s="188">
        <v>23444.14</v>
      </c>
    </row>
    <row r="6" spans="1:4" x14ac:dyDescent="0.25">
      <c r="B6" s="127" t="s">
        <v>308</v>
      </c>
      <c r="C6" s="138"/>
      <c r="D6" s="138"/>
    </row>
    <row r="7" spans="1:4" x14ac:dyDescent="0.25">
      <c r="B7" t="s">
        <v>301</v>
      </c>
      <c r="C7" s="138">
        <v>12550.56</v>
      </c>
      <c r="D7" s="138">
        <v>13073</v>
      </c>
    </row>
    <row r="8" spans="1:4" x14ac:dyDescent="0.25">
      <c r="B8" t="s">
        <v>302</v>
      </c>
      <c r="C8" s="138">
        <v>80320</v>
      </c>
      <c r="D8" s="138">
        <v>59152</v>
      </c>
    </row>
    <row r="9" spans="1:4" x14ac:dyDescent="0.25">
      <c r="B9" t="s">
        <v>303</v>
      </c>
      <c r="C9" s="138">
        <v>686.19</v>
      </c>
      <c r="D9" s="138">
        <v>325.11</v>
      </c>
    </row>
    <row r="10" spans="1:4" x14ac:dyDescent="0.25">
      <c r="B10" t="s">
        <v>304</v>
      </c>
      <c r="C10" s="138">
        <v>21056.43</v>
      </c>
      <c r="D10" s="138">
        <v>14455.9</v>
      </c>
    </row>
    <row r="11" spans="1:4" x14ac:dyDescent="0.25">
      <c r="A11" s="181" t="s">
        <v>7</v>
      </c>
      <c r="B11" s="181"/>
      <c r="C11" s="182">
        <v>39292.31</v>
      </c>
      <c r="D11" s="182">
        <v>51899.6</v>
      </c>
    </row>
    <row r="12" spans="1:4" x14ac:dyDescent="0.25">
      <c r="A12" s="181" t="s">
        <v>305</v>
      </c>
      <c r="B12" s="181"/>
      <c r="C12" s="182">
        <v>154028.1</v>
      </c>
      <c r="D12" s="182">
        <v>170594.29</v>
      </c>
    </row>
    <row r="14" spans="1:4" ht="39.6" x14ac:dyDescent="0.25">
      <c r="A14" s="181" t="s">
        <v>231</v>
      </c>
      <c r="B14" s="181" t="s">
        <v>232</v>
      </c>
      <c r="C14" s="189" t="s">
        <v>234</v>
      </c>
    </row>
    <row r="15" spans="1:4" x14ac:dyDescent="0.25">
      <c r="A15" s="187" t="s">
        <v>244</v>
      </c>
      <c r="B15" s="187" t="s">
        <v>245</v>
      </c>
      <c r="C15" s="188">
        <v>114316.77</v>
      </c>
    </row>
    <row r="16" spans="1:4" x14ac:dyDescent="0.25">
      <c r="A16" s="187" t="s">
        <v>266</v>
      </c>
      <c r="B16" s="187" t="s">
        <v>267</v>
      </c>
      <c r="C16" s="188">
        <v>4721.6099999999997</v>
      </c>
    </row>
    <row r="17" spans="1:11" x14ac:dyDescent="0.25">
      <c r="A17" s="184"/>
      <c r="B17" s="184" t="s">
        <v>290</v>
      </c>
      <c r="C17" s="185">
        <v>119038.38</v>
      </c>
    </row>
    <row r="19" spans="1:11" ht="26.4" x14ac:dyDescent="0.25">
      <c r="A19" s="181" t="s">
        <v>231</v>
      </c>
      <c r="B19" s="181" t="s">
        <v>232</v>
      </c>
      <c r="C19" s="186" t="s">
        <v>310</v>
      </c>
      <c r="D19" s="186" t="s">
        <v>311</v>
      </c>
      <c r="E19" s="186" t="s">
        <v>312</v>
      </c>
      <c r="F19" s="186" t="s">
        <v>313</v>
      </c>
    </row>
    <row r="20" spans="1:11" x14ac:dyDescent="0.25">
      <c r="A20" s="187" t="s">
        <v>244</v>
      </c>
      <c r="B20" s="187" t="s">
        <v>245</v>
      </c>
      <c r="C20" s="188">
        <v>-168.11</v>
      </c>
      <c r="D20" s="188">
        <v>-1100.6400000000001</v>
      </c>
      <c r="E20" s="188">
        <v>-153.4</v>
      </c>
      <c r="F20" s="188">
        <v>-134.46</v>
      </c>
    </row>
    <row r="21" spans="1:11" x14ac:dyDescent="0.25">
      <c r="A21" s="187" t="s">
        <v>266</v>
      </c>
      <c r="B21" s="187" t="s">
        <v>267</v>
      </c>
      <c r="C21" s="188">
        <v>-1331.62</v>
      </c>
      <c r="D21" s="188">
        <v>35.97</v>
      </c>
      <c r="E21" s="188">
        <v>962.39</v>
      </c>
      <c r="F21" s="188">
        <v>72.64</v>
      </c>
    </row>
    <row r="22" spans="1:11" x14ac:dyDescent="0.25">
      <c r="A22" s="184"/>
      <c r="B22" s="184" t="s">
        <v>290</v>
      </c>
      <c r="C22" s="185">
        <v>-1499.73</v>
      </c>
      <c r="D22" s="185">
        <v>-1064.67</v>
      </c>
      <c r="E22" s="185">
        <v>808.99</v>
      </c>
      <c r="F22" s="185">
        <v>-61.82</v>
      </c>
    </row>
    <row r="23" spans="1:11" x14ac:dyDescent="0.25">
      <c r="A23" s="187" t="s">
        <v>309</v>
      </c>
      <c r="B23" s="187" t="s">
        <v>292</v>
      </c>
      <c r="C23" s="188">
        <v>0</v>
      </c>
      <c r="D23" s="188">
        <v>1016.13</v>
      </c>
      <c r="E23" s="188">
        <v>-2000</v>
      </c>
      <c r="F23" s="188">
        <v>0</v>
      </c>
    </row>
    <row r="25" spans="1:11" ht="26.4" x14ac:dyDescent="0.25">
      <c r="A25" s="181" t="s">
        <v>231</v>
      </c>
      <c r="B25" s="181" t="s">
        <v>232</v>
      </c>
      <c r="C25" s="186" t="s">
        <v>240</v>
      </c>
      <c r="D25" s="186" t="s">
        <v>314</v>
      </c>
    </row>
    <row r="26" spans="1:11" x14ac:dyDescent="0.25">
      <c r="A26" s="187" t="s">
        <v>244</v>
      </c>
      <c r="B26" s="187" t="s">
        <v>245</v>
      </c>
      <c r="C26" s="188">
        <v>904.99</v>
      </c>
      <c r="D26" s="188">
        <v>112.75</v>
      </c>
    </row>
    <row r="27" spans="1:11" x14ac:dyDescent="0.25">
      <c r="A27" s="187" t="s">
        <v>266</v>
      </c>
      <c r="B27" s="187" t="s">
        <v>267</v>
      </c>
      <c r="C27" s="188">
        <v>362.14</v>
      </c>
      <c r="D27" s="188">
        <v>361.56</v>
      </c>
    </row>
    <row r="28" spans="1:11" x14ac:dyDescent="0.25">
      <c r="A28" s="184"/>
      <c r="B28" s="184" t="s">
        <v>290</v>
      </c>
      <c r="C28" s="185">
        <v>1267.1300000000001</v>
      </c>
      <c r="D28" s="185">
        <f>+D27+D26</f>
        <v>474.31</v>
      </c>
    </row>
    <row r="29" spans="1:11" x14ac:dyDescent="0.25">
      <c r="A29" s="187" t="s">
        <v>309</v>
      </c>
      <c r="B29" s="187" t="s">
        <v>292</v>
      </c>
      <c r="C29" s="188">
        <v>0</v>
      </c>
      <c r="D29" s="188">
        <v>662.71</v>
      </c>
    </row>
    <row r="31" spans="1:11" ht="39.6" x14ac:dyDescent="0.25">
      <c r="B31" s="181" t="s">
        <v>232</v>
      </c>
      <c r="C31" s="183" t="s">
        <v>233</v>
      </c>
      <c r="D31" s="186" t="s">
        <v>235</v>
      </c>
      <c r="E31" s="186" t="s">
        <v>310</v>
      </c>
      <c r="F31" s="186" t="s">
        <v>311</v>
      </c>
      <c r="G31" s="186" t="s">
        <v>312</v>
      </c>
      <c r="H31" s="186" t="s">
        <v>313</v>
      </c>
      <c r="I31" s="186" t="s">
        <v>240</v>
      </c>
      <c r="J31" s="186" t="s">
        <v>314</v>
      </c>
      <c r="K31" s="186" t="s">
        <v>241</v>
      </c>
    </row>
    <row r="32" spans="1:11" x14ac:dyDescent="0.25">
      <c r="B32" t="s">
        <v>315</v>
      </c>
    </row>
    <row r="33" spans="2:11" x14ac:dyDescent="0.25">
      <c r="B33" t="s">
        <v>316</v>
      </c>
      <c r="C33" s="138">
        <v>12550.56</v>
      </c>
      <c r="D33" s="138">
        <v>13073</v>
      </c>
      <c r="E33" s="138">
        <v>124.47</v>
      </c>
      <c r="F33" s="138">
        <v>48.54</v>
      </c>
      <c r="G33" s="138">
        <v>32.869999999999997</v>
      </c>
      <c r="H33" s="138">
        <v>46.65</v>
      </c>
      <c r="I33" s="138">
        <v>786</v>
      </c>
      <c r="J33" s="138">
        <v>0</v>
      </c>
      <c r="K33" s="138">
        <v>14111.53</v>
      </c>
    </row>
    <row r="34" spans="2:11" x14ac:dyDescent="0.25">
      <c r="B34" t="s">
        <v>317</v>
      </c>
      <c r="C34" s="138">
        <v>803.2</v>
      </c>
      <c r="D34" s="138">
        <v>591.52</v>
      </c>
      <c r="E34" s="138">
        <v>-39397</v>
      </c>
      <c r="F34" s="138">
        <v>0</v>
      </c>
      <c r="G34" s="138"/>
      <c r="H34" s="138">
        <v>60.31</v>
      </c>
      <c r="I34" s="138"/>
      <c r="J34" s="138">
        <v>159.69999999999999</v>
      </c>
      <c r="K34" s="138">
        <v>771.56</v>
      </c>
    </row>
    <row r="35" spans="2:11" x14ac:dyDescent="0.25">
      <c r="B35" t="s">
        <v>318</v>
      </c>
      <c r="C35" s="138">
        <v>686.19</v>
      </c>
      <c r="D35" s="138">
        <v>325.11</v>
      </c>
      <c r="E35" s="138">
        <v>0</v>
      </c>
      <c r="F35" s="138">
        <v>0</v>
      </c>
      <c r="G35" s="138">
        <v>-0.16</v>
      </c>
      <c r="H35" s="138">
        <v>0</v>
      </c>
      <c r="I35" s="138">
        <v>0</v>
      </c>
      <c r="J35" s="138">
        <v>0</v>
      </c>
      <c r="K35" s="138">
        <v>324.95</v>
      </c>
    </row>
    <row r="36" spans="2:11" x14ac:dyDescent="0.25">
      <c r="B36" t="s">
        <v>319</v>
      </c>
      <c r="C36" s="138">
        <v>21056.43</v>
      </c>
      <c r="D36" s="138">
        <v>14455.9</v>
      </c>
      <c r="E36" s="138">
        <v>1415323</v>
      </c>
      <c r="F36" s="138">
        <v>0</v>
      </c>
      <c r="G36" s="138"/>
      <c r="H36" s="138">
        <v>-45.14</v>
      </c>
      <c r="I36" s="138"/>
      <c r="J36" s="138">
        <v>466.26</v>
      </c>
      <c r="K36" s="138">
        <v>16292.25</v>
      </c>
    </row>
    <row r="37" spans="2:11" x14ac:dyDescent="0.25">
      <c r="B37" s="181"/>
      <c r="C37" s="182">
        <v>39292.31</v>
      </c>
      <c r="D37" s="182">
        <v>51899.6</v>
      </c>
      <c r="E37" s="182">
        <v>1499.73</v>
      </c>
      <c r="F37" s="182">
        <v>1064.67</v>
      </c>
      <c r="G37" s="182">
        <v>-1967.29</v>
      </c>
      <c r="H37" s="182">
        <v>61.82</v>
      </c>
      <c r="I37" s="182">
        <v>786</v>
      </c>
      <c r="J37" s="182">
        <v>1288.67</v>
      </c>
      <c r="K37" s="182">
        <v>54633.2</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BCF01E-757A-4EDE-B1C0-062B8148084F}">
  <dimension ref="A1:V46"/>
  <sheetViews>
    <sheetView showGridLines="0" tabSelected="1" zoomScale="80" zoomScaleNormal="80" workbookViewId="0">
      <pane ySplit="6" topLeftCell="A7" activePane="bottomLeft" state="frozen"/>
      <selection pane="bottomLeft" activeCell="N51" sqref="N51"/>
    </sheetView>
  </sheetViews>
  <sheetFormatPr baseColWidth="10" defaultColWidth="11.44140625" defaultRowHeight="14.4" x14ac:dyDescent="0.3"/>
  <cols>
    <col min="1" max="1" width="11.44140625" style="143"/>
    <col min="2" max="2" width="38.109375" style="143" customWidth="1"/>
    <col min="3" max="3" width="14" style="148" customWidth="1"/>
    <col min="4" max="4" width="13.88671875" style="143" customWidth="1"/>
    <col min="5" max="5" width="12.88671875" style="143" customWidth="1"/>
    <col min="6" max="6" width="15.5546875" style="143" customWidth="1"/>
    <col min="7" max="7" width="15.6640625" style="143" customWidth="1"/>
    <col min="8" max="10" width="16.5546875" style="143" customWidth="1"/>
    <col min="11" max="11" width="12.88671875" style="143" customWidth="1"/>
    <col min="12" max="12" width="9.44140625" style="143" customWidth="1"/>
    <col min="13" max="13" width="12.88671875" style="143" customWidth="1"/>
    <col min="14" max="14" width="12.33203125" style="143" customWidth="1"/>
    <col min="15" max="15" width="10.88671875" style="148" customWidth="1"/>
    <col min="16" max="18" width="10.88671875" style="143" customWidth="1"/>
    <col min="19" max="16384" width="11.44140625" style="143"/>
  </cols>
  <sheetData>
    <row r="1" spans="1:20" x14ac:dyDescent="0.3">
      <c r="A1" s="251"/>
      <c r="B1" s="251"/>
      <c r="C1" s="251"/>
      <c r="D1" s="251"/>
      <c r="E1" s="251"/>
      <c r="F1" s="251"/>
      <c r="G1" s="251"/>
      <c r="H1" s="251"/>
      <c r="I1" s="251"/>
      <c r="J1" s="251"/>
      <c r="K1" s="251"/>
      <c r="L1" s="251"/>
      <c r="M1" s="251"/>
      <c r="N1" s="141"/>
      <c r="O1" s="142"/>
    </row>
    <row r="2" spans="1:20" x14ac:dyDescent="0.3">
      <c r="A2" s="251" t="s">
        <v>177</v>
      </c>
      <c r="B2" s="251"/>
      <c r="C2" s="251"/>
      <c r="D2" s="251"/>
      <c r="E2" s="251"/>
      <c r="F2" s="251"/>
      <c r="G2" s="251"/>
      <c r="H2" s="251"/>
      <c r="I2" s="251"/>
      <c r="J2" s="251"/>
      <c r="K2" s="251"/>
      <c r="L2" s="251"/>
      <c r="M2" s="251"/>
      <c r="N2" s="141"/>
      <c r="O2" s="142"/>
    </row>
    <row r="3" spans="1:20" x14ac:dyDescent="0.3">
      <c r="A3" s="251" t="s">
        <v>228</v>
      </c>
      <c r="B3" s="251"/>
      <c r="C3" s="251"/>
      <c r="D3" s="251"/>
      <c r="E3" s="251"/>
      <c r="F3" s="251"/>
      <c r="G3" s="251"/>
      <c r="H3" s="251"/>
      <c r="I3" s="251"/>
      <c r="J3" s="251"/>
      <c r="K3" s="251"/>
      <c r="L3" s="251"/>
      <c r="M3" s="251"/>
      <c r="N3" s="141"/>
      <c r="O3" s="142"/>
    </row>
    <row r="4" spans="1:20" hidden="1" x14ac:dyDescent="0.3">
      <c r="A4" s="251" t="s">
        <v>229</v>
      </c>
      <c r="B4" s="251"/>
      <c r="C4" s="251"/>
      <c r="D4" s="251"/>
      <c r="E4" s="251"/>
      <c r="F4" s="251"/>
      <c r="G4" s="251"/>
      <c r="H4" s="251"/>
      <c r="I4" s="251"/>
      <c r="J4" s="251"/>
      <c r="K4" s="251"/>
      <c r="L4" s="251"/>
      <c r="M4" s="251"/>
      <c r="N4" s="141"/>
      <c r="O4" s="142"/>
    </row>
    <row r="5" spans="1:20" x14ac:dyDescent="0.3">
      <c r="A5" s="252" t="s">
        <v>230</v>
      </c>
      <c r="B5" s="252"/>
      <c r="C5" s="252"/>
      <c r="D5" s="252"/>
      <c r="E5" s="252"/>
      <c r="F5" s="252"/>
      <c r="G5" s="252"/>
      <c r="H5" s="252"/>
      <c r="I5" s="252"/>
      <c r="J5" s="252"/>
      <c r="K5" s="252"/>
      <c r="L5" s="252"/>
      <c r="M5" s="252"/>
      <c r="N5" s="141"/>
      <c r="O5" s="142"/>
    </row>
    <row r="6" spans="1:20" ht="53.1" customHeight="1" x14ac:dyDescent="0.3">
      <c r="A6" s="144" t="s">
        <v>231</v>
      </c>
      <c r="B6" s="144" t="s">
        <v>232</v>
      </c>
      <c r="C6" s="145" t="s">
        <v>233</v>
      </c>
      <c r="D6" s="146" t="s">
        <v>234</v>
      </c>
      <c r="E6" s="147" t="s">
        <v>235</v>
      </c>
      <c r="F6" s="147" t="s">
        <v>236</v>
      </c>
      <c r="G6" s="147" t="s">
        <v>237</v>
      </c>
      <c r="H6" s="147" t="s">
        <v>238</v>
      </c>
      <c r="I6" s="147" t="s">
        <v>239</v>
      </c>
      <c r="J6" s="147" t="s">
        <v>240</v>
      </c>
      <c r="K6" s="147" t="s">
        <v>241</v>
      </c>
      <c r="L6" s="147" t="s">
        <v>242</v>
      </c>
      <c r="M6" s="146" t="s">
        <v>243</v>
      </c>
    </row>
    <row r="7" spans="1:20" s="151" customFormat="1" x14ac:dyDescent="0.3">
      <c r="A7" s="149" t="s">
        <v>244</v>
      </c>
      <c r="B7" s="149" t="s">
        <v>245</v>
      </c>
      <c r="C7" s="150">
        <f>+C8+C15</f>
        <v>110184.84318846039</v>
      </c>
      <c r="D7" s="150">
        <f>+D8+D15+D13</f>
        <v>114316.77480802767</v>
      </c>
      <c r="E7" s="150">
        <f t="shared" ref="E7:J7" si="0">+E8+E15</f>
        <v>111825.22525</v>
      </c>
      <c r="F7" s="150">
        <f t="shared" si="0"/>
        <v>-168.11000160001942</v>
      </c>
      <c r="G7" s="150">
        <f t="shared" si="0"/>
        <v>-1100.6400016000193</v>
      </c>
      <c r="H7" s="150">
        <f t="shared" si="0"/>
        <v>-153.40000160001941</v>
      </c>
      <c r="I7" s="150">
        <f t="shared" si="0"/>
        <v>-134.46000326000001</v>
      </c>
      <c r="J7" s="150">
        <f t="shared" si="0"/>
        <v>904.98999673999992</v>
      </c>
      <c r="K7" s="150">
        <f>+H7+E7+G7+F7+I7+J7</f>
        <v>111173.60523867994</v>
      </c>
      <c r="L7" s="150">
        <f t="shared" ref="L7:L31" si="1">+(K7-C7)/C7*100</f>
        <v>0.89736666278897259</v>
      </c>
      <c r="M7" s="150">
        <f t="shared" ref="M7:M31" si="2">+D7-K7</f>
        <v>3143.1695693477232</v>
      </c>
      <c r="O7" s="152"/>
      <c r="P7" s="152"/>
      <c r="S7" s="152"/>
      <c r="T7" s="152"/>
    </row>
    <row r="8" spans="1:20" x14ac:dyDescent="0.3">
      <c r="A8" s="153" t="s">
        <v>246</v>
      </c>
      <c r="B8" s="153" t="s">
        <v>247</v>
      </c>
      <c r="C8" s="154">
        <f>+C9+C12</f>
        <v>106090.12271605039</v>
      </c>
      <c r="D8" s="154">
        <f t="shared" ref="D8:K8" si="3">+D9+D12</f>
        <v>110068.5023179023</v>
      </c>
      <c r="E8" s="154">
        <f t="shared" si="3"/>
        <v>107556.69816</v>
      </c>
      <c r="F8" s="154">
        <f t="shared" si="3"/>
        <v>-167.10999834001939</v>
      </c>
      <c r="G8" s="154">
        <f t="shared" si="3"/>
        <v>-1100.6399983400192</v>
      </c>
      <c r="H8" s="154">
        <f t="shared" si="3"/>
        <v>-151.85999834001939</v>
      </c>
      <c r="I8" s="154">
        <f t="shared" si="3"/>
        <v>-134.73999999999998</v>
      </c>
      <c r="J8" s="154">
        <f t="shared" si="3"/>
        <v>878.29</v>
      </c>
      <c r="K8" s="154">
        <f t="shared" si="3"/>
        <v>106880.63816497994</v>
      </c>
      <c r="L8" s="154">
        <f t="shared" si="1"/>
        <v>0.7451357663572159</v>
      </c>
      <c r="M8" s="154">
        <f t="shared" si="2"/>
        <v>3187.8641529223532</v>
      </c>
      <c r="P8" s="148"/>
      <c r="T8" s="148"/>
    </row>
    <row r="9" spans="1:20" x14ac:dyDescent="0.3">
      <c r="A9" s="155" t="s">
        <v>248</v>
      </c>
      <c r="B9" s="155" t="s">
        <v>137</v>
      </c>
      <c r="C9" s="156">
        <f>SUM(C10:C11)</f>
        <v>89648.763735970395</v>
      </c>
      <c r="D9" s="156">
        <f>SUM(D10:D11)</f>
        <v>93010.592376069297</v>
      </c>
      <c r="E9" s="157">
        <f>SUM(E10:E11)</f>
        <v>89558.711290000007</v>
      </c>
      <c r="F9" s="157">
        <f t="shared" ref="F9:G9" si="4">SUM(F10:F11)</f>
        <v>1.6599806258454919E-6</v>
      </c>
      <c r="G9" s="157">
        <f t="shared" si="4"/>
        <v>1.6599806258454919E-6</v>
      </c>
      <c r="H9" s="157">
        <f>SUM(H10:H11)</f>
        <v>1.6599806258454919E-6</v>
      </c>
      <c r="I9" s="157">
        <f t="shared" ref="I9:J9" si="5">SUM(I10:I11)</f>
        <v>-1.17</v>
      </c>
      <c r="J9" s="157">
        <f t="shared" si="5"/>
        <v>240.81</v>
      </c>
      <c r="K9" s="157">
        <f t="shared" ref="K9:K43" si="6">+H9+E9+G9+F9+I9+J9</f>
        <v>89798.351294979948</v>
      </c>
      <c r="L9" s="157">
        <f t="shared" si="1"/>
        <v>0.16685958933032433</v>
      </c>
      <c r="M9" s="157">
        <f t="shared" si="2"/>
        <v>3212.2410810893489</v>
      </c>
      <c r="P9" s="148"/>
      <c r="T9" s="148"/>
    </row>
    <row r="10" spans="1:20" x14ac:dyDescent="0.3">
      <c r="A10" s="158" t="s">
        <v>249</v>
      </c>
      <c r="B10" s="158" t="s">
        <v>250</v>
      </c>
      <c r="C10" s="156">
        <v>73026.318682850397</v>
      </c>
      <c r="D10" s="159">
        <f>+C10*(1+0.0375)</f>
        <v>75764.80563345729</v>
      </c>
      <c r="E10" s="157">
        <f>72960299.75/1000</f>
        <v>72960.299750000006</v>
      </c>
      <c r="F10" s="157">
        <v>1.6599806258454919E-6</v>
      </c>
      <c r="G10" s="157">
        <v>1.6599806258454919E-6</v>
      </c>
      <c r="H10" s="157">
        <v>1.6599806258454919E-6</v>
      </c>
      <c r="I10" s="157">
        <v>-0.75</v>
      </c>
      <c r="J10" s="157">
        <v>201.03</v>
      </c>
      <c r="K10" s="157">
        <f t="shared" si="6"/>
        <v>73160.579754979946</v>
      </c>
      <c r="L10" s="157">
        <f t="shared" si="1"/>
        <v>0.18385299238845465</v>
      </c>
      <c r="M10" s="157">
        <f t="shared" si="2"/>
        <v>2604.2258784773439</v>
      </c>
      <c r="N10" s="148"/>
      <c r="P10" s="148"/>
      <c r="T10" s="148"/>
    </row>
    <row r="11" spans="1:20" x14ac:dyDescent="0.3">
      <c r="A11" s="158" t="s">
        <v>251</v>
      </c>
      <c r="B11" s="158" t="s">
        <v>252</v>
      </c>
      <c r="C11" s="156">
        <v>16622.445053120005</v>
      </c>
      <c r="D11" s="159">
        <f t="shared" ref="D11:D12" si="7">+C11*(1+0.0375)</f>
        <v>17245.786742612006</v>
      </c>
      <c r="E11" s="157">
        <f>16598411.54/1000</f>
        <v>16598.411539999997</v>
      </c>
      <c r="F11" s="157">
        <v>0</v>
      </c>
      <c r="G11" s="157">
        <v>0</v>
      </c>
      <c r="H11" s="157">
        <v>0</v>
      </c>
      <c r="I11" s="157">
        <v>-0.42</v>
      </c>
      <c r="J11" s="157">
        <v>39.78</v>
      </c>
      <c r="K11" s="157">
        <f t="shared" si="6"/>
        <v>16637.771539999998</v>
      </c>
      <c r="L11" s="157">
        <f t="shared" si="1"/>
        <v>9.2203564704313387E-2</v>
      </c>
      <c r="M11" s="157">
        <f t="shared" si="2"/>
        <v>608.01520261200858</v>
      </c>
      <c r="N11" s="148"/>
      <c r="P11" s="148"/>
      <c r="T11" s="148"/>
    </row>
    <row r="12" spans="1:20" x14ac:dyDescent="0.3">
      <c r="A12" s="155" t="s">
        <v>253</v>
      </c>
      <c r="B12" s="155" t="s">
        <v>254</v>
      </c>
      <c r="C12" s="156">
        <f>16362.85898008+78.5</f>
        <v>16441.35898008</v>
      </c>
      <c r="D12" s="159">
        <f t="shared" si="7"/>
        <v>17057.909941833001</v>
      </c>
      <c r="E12" s="156">
        <f>17997986.87/1000</f>
        <v>17997.986870000001</v>
      </c>
      <c r="F12" s="156">
        <f>-123.47-43.64</f>
        <v>-167.11</v>
      </c>
      <c r="G12" s="156">
        <f>-48.54-1052.1</f>
        <v>-1100.6399999999999</v>
      </c>
      <c r="H12" s="156">
        <v>-151.86000000000001</v>
      </c>
      <c r="I12" s="156">
        <f>-46.65-86.92</f>
        <v>-133.57</v>
      </c>
      <c r="J12" s="156">
        <v>637.48</v>
      </c>
      <c r="K12" s="156">
        <f t="shared" si="6"/>
        <v>17082.28687</v>
      </c>
      <c r="L12" s="156">
        <f t="shared" si="1"/>
        <v>3.8982658957604075</v>
      </c>
      <c r="M12" s="156">
        <f t="shared" si="2"/>
        <v>-24.376928166999278</v>
      </c>
      <c r="N12" s="148"/>
      <c r="P12" s="148"/>
      <c r="T12" s="148"/>
    </row>
    <row r="13" spans="1:20" hidden="1" x14ac:dyDescent="0.3">
      <c r="A13" s="153" t="s">
        <v>255</v>
      </c>
      <c r="B13" s="153" t="s">
        <v>256</v>
      </c>
      <c r="C13" s="160">
        <f>+C14</f>
        <v>0</v>
      </c>
      <c r="D13" s="160">
        <f>+D14</f>
        <v>0</v>
      </c>
      <c r="E13" s="160">
        <f>+E14</f>
        <v>0</v>
      </c>
      <c r="F13" s="160">
        <v>0</v>
      </c>
      <c r="G13" s="160">
        <v>0</v>
      </c>
      <c r="H13" s="160">
        <v>0</v>
      </c>
      <c r="I13" s="160">
        <v>0</v>
      </c>
      <c r="J13" s="160">
        <v>0</v>
      </c>
      <c r="K13" s="160">
        <f t="shared" si="6"/>
        <v>0</v>
      </c>
      <c r="L13" s="160" t="e">
        <f t="shared" si="1"/>
        <v>#DIV/0!</v>
      </c>
      <c r="M13" s="160">
        <f t="shared" si="2"/>
        <v>0</v>
      </c>
      <c r="P13" s="148"/>
      <c r="T13" s="148"/>
    </row>
    <row r="14" spans="1:20" hidden="1" x14ac:dyDescent="0.3">
      <c r="A14" s="155" t="s">
        <v>257</v>
      </c>
      <c r="B14" s="155" t="s">
        <v>258</v>
      </c>
      <c r="C14" s="156"/>
      <c r="D14" s="159">
        <f>+C14*(1+0.0256)</f>
        <v>0</v>
      </c>
      <c r="E14" s="156"/>
      <c r="F14" s="156">
        <v>0</v>
      </c>
      <c r="G14" s="156">
        <v>0</v>
      </c>
      <c r="H14" s="156">
        <v>0</v>
      </c>
      <c r="I14" s="156">
        <v>0</v>
      </c>
      <c r="J14" s="156">
        <v>0</v>
      </c>
      <c r="K14" s="156">
        <f t="shared" si="6"/>
        <v>0</v>
      </c>
      <c r="L14" s="156" t="e">
        <f t="shared" si="1"/>
        <v>#DIV/0!</v>
      </c>
      <c r="M14" s="156">
        <f t="shared" si="2"/>
        <v>0</v>
      </c>
      <c r="P14" s="148"/>
      <c r="T14" s="148"/>
    </row>
    <row r="15" spans="1:20" x14ac:dyDescent="0.3">
      <c r="A15" s="153" t="s">
        <v>259</v>
      </c>
      <c r="B15" s="153" t="s">
        <v>26</v>
      </c>
      <c r="C15" s="154">
        <f>SUM(C16:C18)</f>
        <v>4094.7204724100002</v>
      </c>
      <c r="D15" s="154">
        <f>SUM(D16:D18)</f>
        <v>4248.272490125375</v>
      </c>
      <c r="E15" s="154">
        <f>SUM(E16:E18)</f>
        <v>4268.5270900000005</v>
      </c>
      <c r="F15" s="154">
        <f t="shared" ref="F15:G15" si="8">SUM(F16:F18)</f>
        <v>-1.0000032600000139</v>
      </c>
      <c r="G15" s="154">
        <f t="shared" si="8"/>
        <v>-3.2600000139382246E-6</v>
      </c>
      <c r="H15" s="154">
        <f>SUM(H16:H18)</f>
        <v>-1.540003260000014</v>
      </c>
      <c r="I15" s="154">
        <f t="shared" ref="I15:J15" si="9">SUM(I16:I18)</f>
        <v>0.27999673999998609</v>
      </c>
      <c r="J15" s="154">
        <f t="shared" si="9"/>
        <v>26.699996739999985</v>
      </c>
      <c r="K15" s="154">
        <f t="shared" si="6"/>
        <v>4292.9670736999997</v>
      </c>
      <c r="L15" s="154">
        <f t="shared" si="1"/>
        <v>4.8415173300784291</v>
      </c>
      <c r="M15" s="154">
        <f t="shared" si="2"/>
        <v>-44.69458357462463</v>
      </c>
      <c r="P15" s="148"/>
      <c r="T15" s="148"/>
    </row>
    <row r="16" spans="1:20" x14ac:dyDescent="0.3">
      <c r="A16" s="155" t="s">
        <v>260</v>
      </c>
      <c r="B16" s="155" t="s">
        <v>261</v>
      </c>
      <c r="C16" s="156">
        <v>90.04622529000001</v>
      </c>
      <c r="D16" s="159">
        <f t="shared" ref="D16:D18" si="10">+C16*(1+0.0375)</f>
        <v>93.422958738375016</v>
      </c>
      <c r="E16" s="156">
        <f>86284.8/1000</f>
        <v>86.284800000000004</v>
      </c>
      <c r="F16" s="156">
        <v>0</v>
      </c>
      <c r="G16" s="156">
        <v>0</v>
      </c>
      <c r="H16" s="156">
        <v>0</v>
      </c>
      <c r="I16" s="156">
        <v>0</v>
      </c>
      <c r="J16" s="156">
        <v>0</v>
      </c>
      <c r="K16" s="156">
        <f t="shared" si="6"/>
        <v>86.284800000000004</v>
      </c>
      <c r="L16" s="156">
        <f t="shared" si="1"/>
        <v>-4.177215955345245</v>
      </c>
      <c r="M16" s="156">
        <f t="shared" si="2"/>
        <v>7.1381587383750116</v>
      </c>
      <c r="N16" s="148"/>
      <c r="P16" s="148"/>
      <c r="T16" s="148"/>
    </row>
    <row r="17" spans="1:22" x14ac:dyDescent="0.3">
      <c r="A17" s="155" t="s">
        <v>262</v>
      </c>
      <c r="B17" s="155" t="s">
        <v>263</v>
      </c>
      <c r="C17" s="156">
        <v>3942.20932412</v>
      </c>
      <c r="D17" s="159">
        <f t="shared" si="10"/>
        <v>4090.0421737745005</v>
      </c>
      <c r="E17" s="156">
        <f>4118147.31/1000</f>
        <v>4118.1473100000003</v>
      </c>
      <c r="F17" s="156">
        <v>-1</v>
      </c>
      <c r="G17" s="156"/>
      <c r="H17" s="156">
        <v>-1.54</v>
      </c>
      <c r="I17" s="156">
        <v>0.28000000000000003</v>
      </c>
      <c r="J17" s="156">
        <v>26.7</v>
      </c>
      <c r="K17" s="156">
        <f t="shared" si="6"/>
        <v>4142.5873099999999</v>
      </c>
      <c r="L17" s="156">
        <f t="shared" si="1"/>
        <v>5.0828854940301591</v>
      </c>
      <c r="M17" s="156">
        <f t="shared" si="2"/>
        <v>-52.545136225499391</v>
      </c>
      <c r="N17" s="148"/>
      <c r="P17" s="148"/>
      <c r="T17" s="148"/>
    </row>
    <row r="18" spans="1:22" x14ac:dyDescent="0.3">
      <c r="A18" s="155" t="s">
        <v>264</v>
      </c>
      <c r="B18" s="155" t="s">
        <v>265</v>
      </c>
      <c r="C18" s="156">
        <v>62.464922999999999</v>
      </c>
      <c r="D18" s="159">
        <f t="shared" si="10"/>
        <v>64.807357612499999</v>
      </c>
      <c r="E18" s="156">
        <f>64094.98/1000</f>
        <v>64.094980000000007</v>
      </c>
      <c r="F18" s="156">
        <v>-3.2600000139382246E-6</v>
      </c>
      <c r="G18" s="156">
        <v>-3.2600000139382246E-6</v>
      </c>
      <c r="H18" s="156">
        <v>-3.2600000139382246E-6</v>
      </c>
      <c r="I18" s="156">
        <v>-3.2600000139382246E-6</v>
      </c>
      <c r="J18" s="156">
        <v>-3.2600000139382246E-6</v>
      </c>
      <c r="K18" s="156">
        <f t="shared" si="6"/>
        <v>64.094963699999937</v>
      </c>
      <c r="L18" s="156">
        <f t="shared" si="1"/>
        <v>2.6095296715565279</v>
      </c>
      <c r="M18" s="156">
        <f t="shared" si="2"/>
        <v>0.71239391250006179</v>
      </c>
      <c r="N18" s="148"/>
      <c r="P18" s="148"/>
      <c r="T18" s="148"/>
    </row>
    <row r="19" spans="1:22" s="151" customFormat="1" x14ac:dyDescent="0.3">
      <c r="A19" s="149" t="s">
        <v>266</v>
      </c>
      <c r="B19" s="149" t="s">
        <v>267</v>
      </c>
      <c r="C19" s="150">
        <f>+C20+C25</f>
        <v>4550.94758723</v>
      </c>
      <c r="D19" s="150">
        <f>+D20+D25</f>
        <v>4721.6081217511255</v>
      </c>
      <c r="E19" s="150">
        <f>+E20+E25</f>
        <v>6869.4705000000004</v>
      </c>
      <c r="F19" s="150">
        <f t="shared" ref="F19:J19" si="11">+F20+F25</f>
        <v>-1331.62</v>
      </c>
      <c r="G19" s="150">
        <f t="shared" si="11"/>
        <v>35.97</v>
      </c>
      <c r="H19" s="150">
        <f t="shared" si="11"/>
        <v>120.68999999999988</v>
      </c>
      <c r="I19" s="150">
        <f t="shared" si="11"/>
        <v>72.64</v>
      </c>
      <c r="J19" s="150">
        <f t="shared" si="11"/>
        <v>362.14</v>
      </c>
      <c r="K19" s="150">
        <f t="shared" si="6"/>
        <v>6129.290500000001</v>
      </c>
      <c r="L19" s="150">
        <f t="shared" si="1"/>
        <v>34.681632396708885</v>
      </c>
      <c r="M19" s="150">
        <f t="shared" si="2"/>
        <v>-1407.6823782488755</v>
      </c>
      <c r="N19" s="152"/>
      <c r="O19" s="152"/>
      <c r="P19" s="152"/>
      <c r="T19" s="152"/>
    </row>
    <row r="20" spans="1:22" x14ac:dyDescent="0.3">
      <c r="A20" s="153" t="s">
        <v>268</v>
      </c>
      <c r="B20" s="161" t="s">
        <v>269</v>
      </c>
      <c r="C20" s="162">
        <f>SUM(C21:C24)</f>
        <v>1551.22948262</v>
      </c>
      <c r="D20" s="162">
        <f>SUM(D21:D24)</f>
        <v>1609.40058821825</v>
      </c>
      <c r="E20" s="162">
        <f>SUM(E21:E24)</f>
        <v>1693.9316200000001</v>
      </c>
      <c r="F20" s="162">
        <f t="shared" ref="F20:G20" si="12">SUM(F21:F24)</f>
        <v>4</v>
      </c>
      <c r="G20" s="162">
        <f t="shared" si="12"/>
        <v>163</v>
      </c>
      <c r="H20" s="162">
        <f>SUM(H21:H24)</f>
        <v>139.78</v>
      </c>
      <c r="I20" s="162">
        <f t="shared" ref="I20:J20" si="13">SUM(I21:I24)</f>
        <v>0</v>
      </c>
      <c r="J20" s="162">
        <f t="shared" si="13"/>
        <v>0</v>
      </c>
      <c r="K20" s="162">
        <f t="shared" si="6"/>
        <v>2000.71162</v>
      </c>
      <c r="L20" s="162">
        <f t="shared" si="1"/>
        <v>28.975863495118237</v>
      </c>
      <c r="M20" s="162">
        <f t="shared" si="2"/>
        <v>-391.31103178174999</v>
      </c>
      <c r="N20" s="148"/>
      <c r="P20" s="148"/>
      <c r="T20" s="148"/>
    </row>
    <row r="21" spans="1:22" x14ac:dyDescent="0.3">
      <c r="A21" s="155" t="s">
        <v>270</v>
      </c>
      <c r="B21" s="155" t="s">
        <v>271</v>
      </c>
      <c r="C21" s="156">
        <v>1551.22948262</v>
      </c>
      <c r="D21" s="159">
        <f t="shared" ref="D21:D24" si="14">+C21*(1+0.0375)</f>
        <v>1609.40058821825</v>
      </c>
      <c r="E21" s="156">
        <f>1693931.62/1000</f>
        <v>1693.9316200000001</v>
      </c>
      <c r="F21" s="156"/>
      <c r="G21" s="156"/>
      <c r="H21" s="156">
        <v>139.78</v>
      </c>
      <c r="I21" s="156"/>
      <c r="J21" s="156"/>
      <c r="K21" s="156">
        <f t="shared" si="6"/>
        <v>1833.71162</v>
      </c>
      <c r="L21" s="156">
        <f t="shared" si="1"/>
        <v>18.210209420652099</v>
      </c>
      <c r="M21" s="156">
        <f t="shared" si="2"/>
        <v>-224.31103178174999</v>
      </c>
      <c r="N21" s="148"/>
      <c r="P21" s="148"/>
      <c r="T21" s="148"/>
    </row>
    <row r="22" spans="1:22" x14ac:dyDescent="0.3">
      <c r="A22" s="155" t="s">
        <v>272</v>
      </c>
      <c r="B22" s="155" t="s">
        <v>273</v>
      </c>
      <c r="C22" s="156">
        <v>0</v>
      </c>
      <c r="D22" s="159">
        <f t="shared" si="14"/>
        <v>0</v>
      </c>
      <c r="E22" s="156"/>
      <c r="F22" s="156"/>
      <c r="G22" s="156">
        <v>157</v>
      </c>
      <c r="H22" s="156"/>
      <c r="I22" s="156"/>
      <c r="J22" s="156"/>
      <c r="K22" s="156">
        <f t="shared" si="6"/>
        <v>157</v>
      </c>
      <c r="L22" s="156" t="e">
        <f t="shared" si="1"/>
        <v>#DIV/0!</v>
      </c>
      <c r="M22" s="156">
        <f t="shared" si="2"/>
        <v>-157</v>
      </c>
      <c r="N22" s="148"/>
      <c r="P22" s="148"/>
      <c r="T22" s="148"/>
    </row>
    <row r="23" spans="1:22" x14ac:dyDescent="0.3">
      <c r="A23" s="155" t="s">
        <v>274</v>
      </c>
      <c r="B23" s="155" t="s">
        <v>275</v>
      </c>
      <c r="C23" s="156"/>
      <c r="D23" s="159">
        <f t="shared" si="14"/>
        <v>0</v>
      </c>
      <c r="E23" s="156"/>
      <c r="F23" s="156">
        <v>0</v>
      </c>
      <c r="G23" s="156">
        <v>0</v>
      </c>
      <c r="H23" s="156">
        <v>0</v>
      </c>
      <c r="I23" s="156">
        <v>0</v>
      </c>
      <c r="J23" s="156">
        <v>0</v>
      </c>
      <c r="K23" s="156">
        <f t="shared" si="6"/>
        <v>0</v>
      </c>
      <c r="L23" s="156" t="e">
        <f t="shared" si="1"/>
        <v>#DIV/0!</v>
      </c>
      <c r="M23" s="156">
        <f t="shared" si="2"/>
        <v>0</v>
      </c>
      <c r="N23" s="148"/>
      <c r="P23" s="148"/>
      <c r="T23" s="148"/>
    </row>
    <row r="24" spans="1:22" x14ac:dyDescent="0.3">
      <c r="A24" s="155" t="s">
        <v>276</v>
      </c>
      <c r="B24" s="155" t="s">
        <v>277</v>
      </c>
      <c r="C24" s="156"/>
      <c r="D24" s="159">
        <f t="shared" si="14"/>
        <v>0</v>
      </c>
      <c r="E24" s="156"/>
      <c r="F24" s="156">
        <v>4</v>
      </c>
      <c r="G24" s="156">
        <v>6</v>
      </c>
      <c r="H24" s="156"/>
      <c r="I24" s="156"/>
      <c r="J24" s="156"/>
      <c r="K24" s="156">
        <f t="shared" si="6"/>
        <v>10</v>
      </c>
      <c r="L24" s="156" t="e">
        <f t="shared" si="1"/>
        <v>#DIV/0!</v>
      </c>
      <c r="M24" s="156">
        <f t="shared" si="2"/>
        <v>-10</v>
      </c>
      <c r="N24" s="148"/>
      <c r="P24" s="148"/>
      <c r="T24" s="148"/>
    </row>
    <row r="25" spans="1:22" x14ac:dyDescent="0.3">
      <c r="A25" s="153" t="s">
        <v>278</v>
      </c>
      <c r="B25" s="153" t="s">
        <v>279</v>
      </c>
      <c r="C25" s="160">
        <f>SUM(C26:C30)</f>
        <v>2999.71810461</v>
      </c>
      <c r="D25" s="160">
        <f>SUM(D26:D29)</f>
        <v>3112.207533532875</v>
      </c>
      <c r="E25" s="160">
        <f>SUM(E26:E29)</f>
        <v>5175.5388800000001</v>
      </c>
      <c r="F25" s="160">
        <f t="shared" ref="F25:G25" si="15">SUM(F26:F30)</f>
        <v>-1335.62</v>
      </c>
      <c r="G25" s="160">
        <f t="shared" si="15"/>
        <v>-127.03</v>
      </c>
      <c r="H25" s="160">
        <f>SUM(H26:H30)</f>
        <v>-19.09000000000011</v>
      </c>
      <c r="I25" s="160">
        <f t="shared" ref="I25:J25" si="16">SUM(I26:I30)</f>
        <v>72.64</v>
      </c>
      <c r="J25" s="160">
        <f t="shared" si="16"/>
        <v>362.14</v>
      </c>
      <c r="K25" s="160">
        <f t="shared" si="6"/>
        <v>4128.57888</v>
      </c>
      <c r="L25" s="160">
        <f t="shared" si="1"/>
        <v>37.632228630255433</v>
      </c>
      <c r="M25" s="160">
        <f t="shared" si="2"/>
        <v>-1016.371346467125</v>
      </c>
      <c r="N25" s="148"/>
      <c r="P25" s="148"/>
      <c r="T25" s="148"/>
    </row>
    <row r="26" spans="1:22" s="166" customFormat="1" x14ac:dyDescent="0.3">
      <c r="A26" s="163" t="s">
        <v>280</v>
      </c>
      <c r="B26" s="163" t="s">
        <v>281</v>
      </c>
      <c r="C26" s="157">
        <v>2599.3181046099999</v>
      </c>
      <c r="D26" s="164">
        <f t="shared" ref="D26:D30" si="17">+C26*(1+0.0375)</f>
        <v>2696.792533532875</v>
      </c>
      <c r="E26" s="157">
        <f>5168648.88/1000</f>
        <v>5168.6488799999997</v>
      </c>
      <c r="F26" s="157">
        <v>-1553.87</v>
      </c>
      <c r="G26" s="157">
        <v>-129.9</v>
      </c>
      <c r="H26" s="156">
        <f>1986.87-2000</f>
        <v>-13.130000000000109</v>
      </c>
      <c r="I26" s="156">
        <v>58.95</v>
      </c>
      <c r="J26" s="156">
        <v>362.14</v>
      </c>
      <c r="K26" s="156">
        <f t="shared" si="6"/>
        <v>3892.8388799999998</v>
      </c>
      <c r="L26" s="156">
        <f t="shared" si="1"/>
        <v>49.76385049201506</v>
      </c>
      <c r="M26" s="156">
        <f t="shared" si="2"/>
        <v>-1196.0463464671247</v>
      </c>
      <c r="N26" s="148"/>
      <c r="O26" s="165"/>
      <c r="P26" s="165"/>
      <c r="T26" s="165"/>
    </row>
    <row r="27" spans="1:22" x14ac:dyDescent="0.3">
      <c r="A27" s="155" t="s">
        <v>282</v>
      </c>
      <c r="B27" s="155" t="s">
        <v>283</v>
      </c>
      <c r="C27" s="156">
        <v>400</v>
      </c>
      <c r="D27" s="159">
        <f t="shared" si="17"/>
        <v>415.00000000000006</v>
      </c>
      <c r="E27" s="156">
        <v>0</v>
      </c>
      <c r="F27" s="156">
        <v>0</v>
      </c>
      <c r="G27" s="156">
        <v>0</v>
      </c>
      <c r="H27" s="156">
        <v>0</v>
      </c>
      <c r="I27" s="156">
        <v>0</v>
      </c>
      <c r="J27" s="156">
        <v>0</v>
      </c>
      <c r="K27" s="156">
        <f t="shared" si="6"/>
        <v>0</v>
      </c>
      <c r="L27" s="156">
        <f t="shared" si="1"/>
        <v>-100</v>
      </c>
      <c r="M27" s="156">
        <f t="shared" si="2"/>
        <v>415.00000000000006</v>
      </c>
      <c r="N27" s="148"/>
      <c r="P27" s="148"/>
      <c r="T27" s="148"/>
    </row>
    <row r="28" spans="1:22" x14ac:dyDescent="0.3">
      <c r="A28" s="155" t="s">
        <v>284</v>
      </c>
      <c r="B28" s="155" t="s">
        <v>285</v>
      </c>
      <c r="C28" s="156"/>
      <c r="D28" s="159">
        <f t="shared" si="17"/>
        <v>0</v>
      </c>
      <c r="E28" s="156"/>
      <c r="F28" s="156">
        <v>0</v>
      </c>
      <c r="G28" s="156">
        <v>0</v>
      </c>
      <c r="H28" s="156">
        <v>0</v>
      </c>
      <c r="I28" s="156">
        <v>0</v>
      </c>
      <c r="J28" s="156">
        <v>0</v>
      </c>
      <c r="K28" s="156">
        <f t="shared" si="6"/>
        <v>0</v>
      </c>
      <c r="L28" s="156" t="e">
        <f t="shared" si="1"/>
        <v>#DIV/0!</v>
      </c>
      <c r="M28" s="156">
        <f t="shared" si="2"/>
        <v>0</v>
      </c>
      <c r="N28" s="148"/>
      <c r="P28" s="148"/>
      <c r="T28" s="148"/>
    </row>
    <row r="29" spans="1:22" x14ac:dyDescent="0.3">
      <c r="A29" s="155" t="s">
        <v>286</v>
      </c>
      <c r="B29" s="155" t="s">
        <v>287</v>
      </c>
      <c r="C29" s="156">
        <v>0.4</v>
      </c>
      <c r="D29" s="159">
        <f t="shared" si="17"/>
        <v>0.41500000000000004</v>
      </c>
      <c r="E29" s="156">
        <v>6.89</v>
      </c>
      <c r="F29" s="156">
        <v>218.25</v>
      </c>
      <c r="G29" s="156">
        <v>2.87</v>
      </c>
      <c r="H29" s="156">
        <v>-5.96</v>
      </c>
      <c r="I29" s="156">
        <v>13.69</v>
      </c>
      <c r="J29" s="156"/>
      <c r="K29" s="156">
        <f t="shared" si="6"/>
        <v>235.74</v>
      </c>
      <c r="L29" s="156">
        <f t="shared" si="1"/>
        <v>58835</v>
      </c>
      <c r="M29" s="156">
        <f t="shared" si="2"/>
        <v>-235.32500000000002</v>
      </c>
      <c r="N29" s="148"/>
      <c r="P29" s="148"/>
      <c r="T29" s="148"/>
    </row>
    <row r="30" spans="1:22" x14ac:dyDescent="0.3">
      <c r="A30" s="155" t="s">
        <v>288</v>
      </c>
      <c r="B30" s="155" t="s">
        <v>289</v>
      </c>
      <c r="C30" s="156">
        <v>0</v>
      </c>
      <c r="D30" s="159">
        <f t="shared" si="17"/>
        <v>0</v>
      </c>
      <c r="E30" s="156"/>
      <c r="F30" s="156">
        <v>0</v>
      </c>
      <c r="G30" s="156">
        <v>0</v>
      </c>
      <c r="H30" s="156">
        <v>0</v>
      </c>
      <c r="I30" s="156">
        <v>0</v>
      </c>
      <c r="J30" s="156">
        <v>0</v>
      </c>
      <c r="K30" s="156">
        <f t="shared" si="6"/>
        <v>0</v>
      </c>
      <c r="L30" s="156" t="e">
        <f t="shared" si="1"/>
        <v>#DIV/0!</v>
      </c>
      <c r="M30" s="156">
        <f t="shared" si="2"/>
        <v>0</v>
      </c>
      <c r="N30" s="148"/>
      <c r="P30" s="148"/>
      <c r="T30" s="148"/>
    </row>
    <row r="31" spans="1:22" s="170" customFormat="1" x14ac:dyDescent="0.3">
      <c r="A31" s="167"/>
      <c r="B31" s="167" t="s">
        <v>290</v>
      </c>
      <c r="C31" s="168">
        <f>+C19+C7</f>
        <v>114735.79077569039</v>
      </c>
      <c r="D31" s="168">
        <f>+D19+D7</f>
        <v>119038.38292977879</v>
      </c>
      <c r="E31" s="168">
        <f>+E19+E7</f>
        <v>118694.69575</v>
      </c>
      <c r="F31" s="168">
        <f t="shared" ref="F31:G31" si="18">+F7+F19</f>
        <v>-1499.7300016000192</v>
      </c>
      <c r="G31" s="168">
        <f t="shared" si="18"/>
        <v>-1064.6700016000193</v>
      </c>
      <c r="H31" s="168">
        <f>+H7+H19</f>
        <v>-32.710001600019524</v>
      </c>
      <c r="I31" s="168">
        <f t="shared" ref="I31:J31" si="19">+I7+I19</f>
        <v>-61.820003260000007</v>
      </c>
      <c r="J31" s="168">
        <f t="shared" si="19"/>
        <v>1267.12999674</v>
      </c>
      <c r="K31" s="168">
        <f t="shared" si="6"/>
        <v>117302.89573867993</v>
      </c>
      <c r="L31" s="168">
        <f t="shared" si="1"/>
        <v>2.237405560753277</v>
      </c>
      <c r="M31" s="168">
        <f t="shared" si="2"/>
        <v>1735.4871910988586</v>
      </c>
      <c r="N31" s="148"/>
      <c r="O31" s="169"/>
      <c r="P31" s="148"/>
      <c r="S31" s="169"/>
      <c r="T31" s="148"/>
      <c r="U31" s="169"/>
      <c r="V31" s="169"/>
    </row>
    <row r="32" spans="1:22" s="151" customFormat="1" x14ac:dyDescent="0.3">
      <c r="A32" s="149" t="s">
        <v>291</v>
      </c>
      <c r="B32" s="149" t="s">
        <v>292</v>
      </c>
      <c r="C32" s="150">
        <f>+C33</f>
        <v>4195.93</v>
      </c>
      <c r="D32" s="150"/>
      <c r="E32" s="150">
        <f>+E33</f>
        <v>23444.137650000001</v>
      </c>
      <c r="F32" s="150">
        <f t="shared" ref="F32:G32" si="20">+F33</f>
        <v>0</v>
      </c>
      <c r="G32" s="150">
        <f t="shared" si="20"/>
        <v>1016.13</v>
      </c>
      <c r="H32" s="150">
        <f>+H33</f>
        <v>-2000</v>
      </c>
      <c r="I32" s="150">
        <f t="shared" ref="I32:J32" si="21">+I33</f>
        <v>0</v>
      </c>
      <c r="J32" s="150">
        <f t="shared" si="21"/>
        <v>0</v>
      </c>
      <c r="K32" s="150">
        <f t="shared" si="6"/>
        <v>22460.267650000002</v>
      </c>
      <c r="L32" s="150"/>
      <c r="M32" s="150"/>
      <c r="N32" s="152"/>
      <c r="O32" s="152"/>
      <c r="P32" s="152"/>
    </row>
    <row r="33" spans="1:20" s="166" customFormat="1" x14ac:dyDescent="0.3">
      <c r="A33" s="163" t="s">
        <v>293</v>
      </c>
      <c r="B33" s="163" t="s">
        <v>294</v>
      </c>
      <c r="C33" s="171">
        <v>4195.93</v>
      </c>
      <c r="D33" s="171"/>
      <c r="E33" s="171">
        <f>23444137650/1000000</f>
        <v>23444.137650000001</v>
      </c>
      <c r="F33" s="171"/>
      <c r="G33" s="171">
        <v>1016.13</v>
      </c>
      <c r="H33" s="172">
        <v>-2000</v>
      </c>
      <c r="I33" s="172"/>
      <c r="J33" s="172"/>
      <c r="K33" s="172">
        <f t="shared" si="6"/>
        <v>22460.267650000002</v>
      </c>
      <c r="L33" s="157"/>
      <c r="M33" s="157"/>
      <c r="N33" s="165"/>
      <c r="O33" s="165"/>
      <c r="P33" s="165"/>
    </row>
    <row r="34" spans="1:20" x14ac:dyDescent="0.3">
      <c r="A34" s="173" t="s">
        <v>295</v>
      </c>
      <c r="B34" s="173" t="s">
        <v>296</v>
      </c>
      <c r="C34" s="174">
        <f t="shared" ref="C34:E35" si="22">+C35</f>
        <v>0</v>
      </c>
      <c r="D34" s="174">
        <f t="shared" si="22"/>
        <v>0</v>
      </c>
      <c r="E34" s="174">
        <f t="shared" si="22"/>
        <v>9.9188120600000005</v>
      </c>
      <c r="F34" s="174">
        <v>0</v>
      </c>
      <c r="G34" s="174">
        <v>0</v>
      </c>
      <c r="H34" s="174">
        <v>0</v>
      </c>
      <c r="I34" s="174">
        <v>0</v>
      </c>
      <c r="J34" s="174">
        <v>0</v>
      </c>
      <c r="K34" s="174">
        <f t="shared" si="6"/>
        <v>9.9188120600000005</v>
      </c>
      <c r="L34" s="174"/>
      <c r="M34" s="174"/>
      <c r="N34" s="148"/>
      <c r="P34" s="148"/>
    </row>
    <row r="35" spans="1:20" x14ac:dyDescent="0.3">
      <c r="A35" s="153" t="s">
        <v>297</v>
      </c>
      <c r="B35" s="153" t="s">
        <v>298</v>
      </c>
      <c r="C35" s="156">
        <f t="shared" si="22"/>
        <v>0</v>
      </c>
      <c r="D35" s="156">
        <f t="shared" si="22"/>
        <v>0</v>
      </c>
      <c r="E35" s="156">
        <f t="shared" si="22"/>
        <v>9.9188120600000005</v>
      </c>
      <c r="F35" s="156">
        <v>0</v>
      </c>
      <c r="G35" s="156">
        <v>0</v>
      </c>
      <c r="H35" s="156">
        <v>0</v>
      </c>
      <c r="I35" s="156">
        <v>0</v>
      </c>
      <c r="J35" s="156">
        <v>0</v>
      </c>
      <c r="K35" s="156">
        <f t="shared" si="6"/>
        <v>9.9188120600000005</v>
      </c>
      <c r="L35" s="156"/>
      <c r="M35" s="156"/>
      <c r="N35" s="148"/>
      <c r="P35" s="148"/>
    </row>
    <row r="36" spans="1:20" x14ac:dyDescent="0.3">
      <c r="A36" s="155" t="s">
        <v>299</v>
      </c>
      <c r="B36" s="155" t="s">
        <v>298</v>
      </c>
      <c r="C36" s="156">
        <v>0</v>
      </c>
      <c r="D36" s="159">
        <f>+C36*(1+0.0256)</f>
        <v>0</v>
      </c>
      <c r="E36" s="156">
        <f>9918812.06/1000000</f>
        <v>9.9188120600000005</v>
      </c>
      <c r="F36" s="156">
        <v>0</v>
      </c>
      <c r="G36" s="156">
        <v>0</v>
      </c>
      <c r="H36" s="156">
        <v>0</v>
      </c>
      <c r="I36" s="156">
        <v>0</v>
      </c>
      <c r="J36" s="156">
        <v>0</v>
      </c>
      <c r="K36" s="156">
        <f t="shared" si="6"/>
        <v>9.9188120600000005</v>
      </c>
      <c r="L36" s="156"/>
      <c r="M36" s="156"/>
      <c r="N36" s="148"/>
      <c r="P36" s="148"/>
    </row>
    <row r="37" spans="1:20" x14ac:dyDescent="0.3">
      <c r="A37" s="155"/>
      <c r="B37" s="153" t="s">
        <v>300</v>
      </c>
      <c r="C37" s="156"/>
      <c r="D37" s="159"/>
      <c r="E37" s="156"/>
      <c r="F37" s="156"/>
      <c r="G37" s="156"/>
      <c r="H37" s="156"/>
      <c r="I37" s="156"/>
      <c r="J37" s="156"/>
      <c r="K37" s="156">
        <f t="shared" si="6"/>
        <v>0</v>
      </c>
      <c r="L37" s="156"/>
      <c r="M37" s="156"/>
      <c r="N37" s="148"/>
      <c r="P37" s="148"/>
    </row>
    <row r="38" spans="1:20" x14ac:dyDescent="0.3">
      <c r="A38" s="155"/>
      <c r="B38" s="155" t="s">
        <v>301</v>
      </c>
      <c r="C38" s="156">
        <f>+'[2]Hoja1 (3)'!$F$162</f>
        <v>12550.555190999999</v>
      </c>
      <c r="D38" s="159"/>
      <c r="E38" s="156">
        <v>13073</v>
      </c>
      <c r="F38" s="156">
        <v>124.47</v>
      </c>
      <c r="G38" s="156">
        <v>48.54</v>
      </c>
      <c r="H38" s="156">
        <v>32.869999999999997</v>
      </c>
      <c r="I38" s="156">
        <v>46.65</v>
      </c>
      <c r="J38" s="156">
        <v>786</v>
      </c>
      <c r="K38" s="156">
        <f t="shared" si="6"/>
        <v>14111.53</v>
      </c>
      <c r="L38" s="156"/>
      <c r="M38" s="156"/>
      <c r="N38" s="148"/>
      <c r="P38" s="148"/>
    </row>
    <row r="39" spans="1:20" x14ac:dyDescent="0.3">
      <c r="A39" s="155"/>
      <c r="B39" s="155" t="s">
        <v>302</v>
      </c>
      <c r="C39" s="156">
        <f>+'[2]Hoja1 (3)'!$E$180/1000000</f>
        <v>803.2</v>
      </c>
      <c r="D39" s="159"/>
      <c r="E39" s="156">
        <v>591.52</v>
      </c>
      <c r="F39" s="156">
        <v>-39.97</v>
      </c>
      <c r="G39" s="156">
        <v>0</v>
      </c>
      <c r="H39" s="156"/>
      <c r="I39" s="156">
        <v>60.31</v>
      </c>
      <c r="J39" s="156"/>
      <c r="K39" s="156">
        <f t="shared" si="6"/>
        <v>611.8599999999999</v>
      </c>
      <c r="L39" s="156"/>
      <c r="M39" s="156"/>
      <c r="N39" s="148"/>
      <c r="P39" s="148"/>
    </row>
    <row r="40" spans="1:20" x14ac:dyDescent="0.3">
      <c r="A40" s="155"/>
      <c r="B40" s="155" t="s">
        <v>303</v>
      </c>
      <c r="C40" s="156">
        <f>+'[2]Hoja1 (3)'!$H$236/1000000</f>
        <v>686.19041226000002</v>
      </c>
      <c r="D40" s="159"/>
      <c r="E40" s="156">
        <f>+'[3]excepcion viculo ext'!$J$20/1000000</f>
        <v>325.11430899999999</v>
      </c>
      <c r="F40" s="156">
        <v>0</v>
      </c>
      <c r="G40" s="156">
        <v>0</v>
      </c>
      <c r="H40" s="156">
        <v>-0.16</v>
      </c>
      <c r="I40" s="156">
        <v>0</v>
      </c>
      <c r="J40" s="156">
        <v>0</v>
      </c>
      <c r="K40" s="156">
        <f t="shared" si="6"/>
        <v>324.95430899999997</v>
      </c>
      <c r="L40" s="156"/>
      <c r="M40" s="156"/>
      <c r="N40" s="148"/>
      <c r="P40" s="148"/>
    </row>
    <row r="41" spans="1:20" x14ac:dyDescent="0.3">
      <c r="A41" s="155"/>
      <c r="B41" s="155" t="s">
        <v>304</v>
      </c>
      <c r="C41" s="156">
        <f>+'[2]Hoja1 (3)'!$E$177/1000000</f>
        <v>21056.430702819998</v>
      </c>
      <c r="D41" s="159"/>
      <c r="E41" s="156">
        <f>+'[3]excepcion superavit'!$J$739/1000000</f>
        <v>14455.904968999996</v>
      </c>
      <c r="F41" s="156">
        <v>1415.23</v>
      </c>
      <c r="G41" s="156">
        <v>0</v>
      </c>
      <c r="H41" s="156">
        <v>2000</v>
      </c>
      <c r="I41" s="156">
        <v>-45.14</v>
      </c>
      <c r="J41" s="156"/>
      <c r="K41" s="156">
        <f t="shared" si="6"/>
        <v>17825.994968999996</v>
      </c>
      <c r="L41" s="156"/>
      <c r="M41" s="156"/>
      <c r="N41" s="148"/>
      <c r="P41" s="148"/>
    </row>
    <row r="42" spans="1:20" x14ac:dyDescent="0.3">
      <c r="A42" s="175" t="s">
        <v>7</v>
      </c>
      <c r="B42" s="175"/>
      <c r="C42" s="176">
        <f t="shared" ref="C42:D42" si="23">+C38+C34+C32+C39+C40+C41</f>
        <v>39292.306306079998</v>
      </c>
      <c r="D42" s="176">
        <f t="shared" si="23"/>
        <v>0</v>
      </c>
      <c r="E42" s="176">
        <f>+E38+E34+E32+E39+E40+E41</f>
        <v>51899.595740059987</v>
      </c>
      <c r="F42" s="176">
        <f t="shared" ref="F42:J42" si="24">+F38+F34+F32+F39+F40+F41</f>
        <v>1499.73</v>
      </c>
      <c r="G42" s="176">
        <f t="shared" si="24"/>
        <v>1064.67</v>
      </c>
      <c r="H42" s="176">
        <f t="shared" si="24"/>
        <v>32.709999999999809</v>
      </c>
      <c r="I42" s="176">
        <f t="shared" si="24"/>
        <v>61.820000000000007</v>
      </c>
      <c r="J42" s="176">
        <f t="shared" si="24"/>
        <v>786</v>
      </c>
      <c r="K42" s="176">
        <f t="shared" si="6"/>
        <v>55344.525740059988</v>
      </c>
      <c r="L42" s="176"/>
      <c r="M42" s="176"/>
      <c r="N42" s="148"/>
      <c r="P42" s="148"/>
      <c r="T42" s="148"/>
    </row>
    <row r="43" spans="1:20" x14ac:dyDescent="0.3">
      <c r="A43" s="177" t="s">
        <v>305</v>
      </c>
      <c r="B43" s="178"/>
      <c r="C43" s="179">
        <f>+C42+C31</f>
        <v>154028.09708177039</v>
      </c>
      <c r="D43" s="179">
        <f>+D42+D31</f>
        <v>119038.38292977879</v>
      </c>
      <c r="E43" s="179">
        <f>+E42+E31</f>
        <v>170594.29149005999</v>
      </c>
      <c r="F43" s="179">
        <f t="shared" ref="F43:G43" si="25">+F42+F31</f>
        <v>-1.6000192317733308E-6</v>
      </c>
      <c r="G43" s="179">
        <f t="shared" si="25"/>
        <v>-1.6000192317733308E-6</v>
      </c>
      <c r="H43" s="179">
        <f>+H42+H31</f>
        <v>-1.6000197149423911E-6</v>
      </c>
      <c r="I43" s="179">
        <f t="shared" ref="I43:J43" si="26">+I42+I31</f>
        <v>-3.2599999997273699E-6</v>
      </c>
      <c r="J43" s="179">
        <f t="shared" si="26"/>
        <v>2053.12999674</v>
      </c>
      <c r="K43" s="179">
        <f t="shared" si="6"/>
        <v>172647.42147873994</v>
      </c>
      <c r="L43" s="179"/>
      <c r="M43" s="179"/>
      <c r="N43" s="148"/>
    </row>
    <row r="44" spans="1:20" x14ac:dyDescent="0.3">
      <c r="A44" s="180" t="s">
        <v>306</v>
      </c>
      <c r="E44" s="148">
        <v>170594</v>
      </c>
      <c r="F44" s="148"/>
      <c r="G44" s="148"/>
      <c r="H44" s="148"/>
      <c r="I44" s="148"/>
      <c r="J44" s="148"/>
      <c r="K44" s="148"/>
      <c r="L44" s="148"/>
    </row>
    <row r="45" spans="1:20" x14ac:dyDescent="0.3">
      <c r="A45" s="143" t="s">
        <v>307</v>
      </c>
      <c r="E45" s="148"/>
      <c r="F45" s="148"/>
      <c r="G45" s="148"/>
      <c r="H45" s="148"/>
      <c r="I45" s="148"/>
      <c r="J45" s="148"/>
      <c r="K45" s="148"/>
      <c r="L45" s="148"/>
      <c r="T45" s="148"/>
    </row>
    <row r="46" spans="1:20" x14ac:dyDescent="0.3">
      <c r="E46" s="148"/>
      <c r="F46" s="148"/>
      <c r="G46" s="148"/>
      <c r="H46" s="148"/>
      <c r="I46" s="148"/>
      <c r="J46" s="148"/>
      <c r="K46" s="148"/>
      <c r="L46" s="148"/>
      <c r="T46" s="148"/>
    </row>
  </sheetData>
  <mergeCells count="5">
    <mergeCell ref="A1:M1"/>
    <mergeCell ref="A2:M2"/>
    <mergeCell ref="A3:M3"/>
    <mergeCell ref="A4:M4"/>
    <mergeCell ref="A5:M5"/>
  </mergeCells>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2</vt:i4>
      </vt:variant>
    </vt:vector>
  </HeadingPairs>
  <TitlesOfParts>
    <vt:vector size="11" baseType="lpstr">
      <vt:lpstr>RESUMEN DE INGRESOS gastos</vt:lpstr>
      <vt:lpstr>SUPERÁVIT</vt:lpstr>
      <vt:lpstr>plantilla purianual</vt:lpstr>
      <vt:lpstr>gráficos</vt:lpstr>
      <vt:lpstr>origen colones </vt:lpstr>
      <vt:lpstr>origen y aplicaclasif economico</vt:lpstr>
      <vt:lpstr>clasificación económica</vt:lpstr>
      <vt:lpstr>Hoja2</vt:lpstr>
      <vt:lpstr>regla fiscal</vt:lpstr>
      <vt:lpstr>'origen colones '!Área_de_impresión</vt:lpstr>
      <vt:lpstr>'origen y aplicaclasif economico'!Área_de_impresión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MILTON LACAYO  JARA</dc:creator>
  <cp:lastModifiedBy>MILTON LACAYO  JARA</cp:lastModifiedBy>
  <dcterms:created xsi:type="dcterms:W3CDTF">2025-05-30T15:44:46Z</dcterms:created>
  <dcterms:modified xsi:type="dcterms:W3CDTF">2025-06-05T17:24:43Z</dcterms:modified>
</cp:coreProperties>
</file>